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ME\6.félév\El.gy. és minbizt\"/>
    </mc:Choice>
  </mc:AlternateContent>
  <xr:revisionPtr revIDLastSave="0" documentId="13_ncr:1_{3355727F-60CC-4334-865A-513C1B97E62A}" xr6:coauthVersionLast="45" xr6:coauthVersionMax="45" xr10:uidLastSave="{00000000-0000-0000-0000-000000000000}"/>
  <bookViews>
    <workbookView xWindow="12900" yWindow="1500" windowWidth="10140" windowHeight="8412" firstSheet="1" activeTab="4" xr2:uid="{0A533BB6-F9E6-4C35-AAA7-28DE9B52E18D}"/>
  </bookViews>
  <sheets>
    <sheet name="GYAK1" sheetId="1" r:id="rId1"/>
    <sheet name="GYAK2" sheetId="2" r:id="rId2"/>
    <sheet name="GYAK3" sheetId="3" r:id="rId3"/>
    <sheet name="GYAK4" sheetId="4" r:id="rId4"/>
    <sheet name="GYAK6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4" l="1"/>
  <c r="D70" i="4" l="1"/>
  <c r="D71" i="4" s="1"/>
  <c r="G56" i="4"/>
  <c r="C58" i="4" s="1"/>
  <c r="C48" i="4"/>
  <c r="C36" i="4"/>
  <c r="C37" i="4" s="1"/>
  <c r="C39" i="4" s="1"/>
  <c r="C23" i="4"/>
  <c r="G7" i="4"/>
  <c r="E7" i="4"/>
  <c r="D87" i="3" l="1"/>
  <c r="D88" i="3"/>
  <c r="C70" i="3"/>
  <c r="C72" i="3" s="1"/>
  <c r="C74" i="3"/>
  <c r="I56" i="3"/>
  <c r="I58" i="3" s="1"/>
  <c r="D50" i="3"/>
  <c r="G47" i="3" s="1"/>
  <c r="D34" i="3"/>
  <c r="G32" i="3" s="1"/>
  <c r="H34" i="3" s="1"/>
  <c r="D77" i="2"/>
  <c r="H68" i="2"/>
  <c r="C89" i="2"/>
  <c r="C83" i="2"/>
  <c r="H21" i="3"/>
  <c r="H20" i="3"/>
  <c r="I38" i="1"/>
  <c r="I40" i="1"/>
  <c r="I39" i="1"/>
  <c r="G11" i="3"/>
  <c r="G13" i="3" s="1"/>
  <c r="H15" i="3" s="1"/>
  <c r="H5" i="3"/>
  <c r="H4" i="3"/>
  <c r="H7" i="3" s="1"/>
  <c r="H8" i="3" s="1"/>
  <c r="D91" i="3" l="1"/>
  <c r="F91" i="3" s="1"/>
  <c r="H50" i="3"/>
  <c r="G24" i="3"/>
  <c r="H26" i="3" s="1"/>
  <c r="I41" i="1"/>
  <c r="E87" i="2"/>
  <c r="E86" i="2"/>
  <c r="E89" i="2" s="1"/>
  <c r="E81" i="2"/>
  <c r="E80" i="2"/>
  <c r="E83" i="2" s="1"/>
  <c r="G76" i="2"/>
  <c r="H42" i="2"/>
  <c r="G38" i="2"/>
  <c r="F46" i="2" s="1"/>
  <c r="B47" i="2"/>
  <c r="B46" i="2"/>
  <c r="H31" i="2"/>
  <c r="G27" i="2"/>
  <c r="G35" i="2" s="1"/>
  <c r="C35" i="2"/>
  <c r="H19" i="2"/>
  <c r="H15" i="2"/>
  <c r="I9" i="2"/>
  <c r="H13" i="2" s="1"/>
  <c r="H5" i="2"/>
  <c r="E79" i="1"/>
  <c r="D81" i="1" s="1"/>
  <c r="C71" i="1"/>
  <c r="F71" i="1" s="1"/>
  <c r="F61" i="1"/>
  <c r="E64" i="1"/>
  <c r="E55" i="1"/>
  <c r="E54" i="1"/>
  <c r="I32" i="1"/>
  <c r="E5" i="1"/>
  <c r="E4" i="1"/>
  <c r="E3" i="1"/>
  <c r="H17" i="2" l="1"/>
  <c r="H21" i="2" s="1"/>
  <c r="J21" i="2" s="1"/>
  <c r="F47" i="2"/>
</calcChain>
</file>

<file path=xl/sharedStrings.xml><?xml version="1.0" encoding="utf-8"?>
<sst xmlns="http://schemas.openxmlformats.org/spreadsheetml/2006/main" count="427" uniqueCount="239">
  <si>
    <t>Pad rajzolat méretek</t>
  </si>
  <si>
    <t>L=</t>
  </si>
  <si>
    <t>W=</t>
  </si>
  <si>
    <t>h=</t>
  </si>
  <si>
    <t>d=</t>
  </si>
  <si>
    <t>D=</t>
  </si>
  <si>
    <t>(mm-ben írd be)</t>
  </si>
  <si>
    <t>Méretkód</t>
  </si>
  <si>
    <t>L</t>
  </si>
  <si>
    <t>W</t>
  </si>
  <si>
    <t>h</t>
  </si>
  <si>
    <t>d</t>
  </si>
  <si>
    <t>0402</t>
  </si>
  <si>
    <t>0603</t>
  </si>
  <si>
    <t>0805</t>
  </si>
  <si>
    <t>1206</t>
  </si>
  <si>
    <t>0201</t>
  </si>
  <si>
    <t>BGA tervezés</t>
  </si>
  <si>
    <t>Lépések:</t>
  </si>
  <si>
    <t>1. adatok: kivezetésszám, raszterosztás, kontaktusfelület méret</t>
  </si>
  <si>
    <t>2. kivezetésszámból a mátrix meghatározása</t>
  </si>
  <si>
    <t>Példa</t>
  </si>
  <si>
    <t>441; 1; 0,35</t>
  </si>
  <si>
    <t>441 -&gt; 21x21</t>
  </si>
  <si>
    <t>3. escape route darabszám, a helyes mátrix sorában a megadottnál épp
nagyobb oszlop. Ez megadja a kontaktusfelületek közötti huzalok számát.</t>
  </si>
  <si>
    <t>380 db -&gt; 400-ba fér bele,
tehát 3 vezeték</t>
  </si>
  <si>
    <t>4. másik táblázatban megkeresni az adatok alapján a max huzalszélességet</t>
  </si>
  <si>
    <t>itt 75um</t>
  </si>
  <si>
    <t>5. ha belefér jó, ha nem akkor nem lehetséges</t>
  </si>
  <si>
    <t>w=</t>
  </si>
  <si>
    <t>Ró=</t>
  </si>
  <si>
    <t>R=</t>
  </si>
  <si>
    <t>A verzió</t>
  </si>
  <si>
    <t>B verzió</t>
  </si>
  <si>
    <t>RI=</t>
  </si>
  <si>
    <t>RII=</t>
  </si>
  <si>
    <t>RIII=</t>
  </si>
  <si>
    <t>Rteljes=</t>
  </si>
  <si>
    <t>mm</t>
  </si>
  <si>
    <t>Ω</t>
  </si>
  <si>
    <t>Fajlagos ellenállás hőmérsékletfüggése</t>
  </si>
  <si>
    <t>C=d+h</t>
  </si>
  <si>
    <t>B=L-2d</t>
  </si>
  <si>
    <t>D=W+0,1</t>
  </si>
  <si>
    <t>(szintén mm!!)</t>
  </si>
  <si>
    <t>α(réz)=</t>
  </si>
  <si>
    <t>Ró(réz)=</t>
  </si>
  <si>
    <t>Fajlagos ellenállás, vezető ellenállás</t>
  </si>
  <si>
    <t>ez a gyártási standard,
&lt;-- de ha más van a feladatban írd át</t>
  </si>
  <si>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  <charset val="238"/>
        <scheme val="minor"/>
      </rPr>
      <t>T1=</t>
    </r>
  </si>
  <si>
    <t>ΔT2=</t>
  </si>
  <si>
    <t>Ró1=</t>
  </si>
  <si>
    <t>Ró2=</t>
  </si>
  <si>
    <t>Skin mélység</t>
  </si>
  <si>
    <t>inch</t>
  </si>
  <si>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m</t>
    </r>
  </si>
  <si>
    <t>frekvencia</t>
  </si>
  <si>
    <t>skin mélység=</t>
  </si>
  <si>
    <t>Átváltó:</t>
  </si>
  <si>
    <t>Crossover frekvencia
A verzió</t>
  </si>
  <si>
    <t>fc=</t>
  </si>
  <si>
    <t>Hz</t>
  </si>
  <si>
    <t>Crossover frekvencia
B verzió</t>
  </si>
  <si>
    <t>Furatkitöltés mértéke %-ban</t>
  </si>
  <si>
    <t>Felületszerelt alkatrész:</t>
  </si>
  <si>
    <t>Furatszerelt alkatrész:</t>
  </si>
  <si>
    <t>raszter osztás:</t>
  </si>
  <si>
    <t>kivezetés átmérője:</t>
  </si>
  <si>
    <t>furat átmérője:</t>
  </si>
  <si>
    <t>Forr. felület sugara:</t>
  </si>
  <si>
    <t>kivezetés hossz (L):</t>
  </si>
  <si>
    <t>kivezetés vastagság:</t>
  </si>
  <si>
    <t>µm</t>
  </si>
  <si>
    <t>1. szükséges fóliavastagság meghatározása</t>
  </si>
  <si>
    <t>t=</t>
  </si>
  <si>
    <t>(ide am a legfinomabb
raszterosztású kell)</t>
  </si>
  <si>
    <t>Kerekítve:</t>
  </si>
  <si>
    <t>2. apertúra megtervezése a furatszerelt alkatrésznek</t>
  </si>
  <si>
    <t>x=</t>
  </si>
  <si>
    <t>3. apertúra térfogata a furetszerelt alkatrésznél</t>
  </si>
  <si>
    <t>Vap_TH=</t>
  </si>
  <si>
    <t>mm3</t>
  </si>
  <si>
    <t>4. szükséges pasztamennyiség</t>
  </si>
  <si>
    <t>Vsz=</t>
  </si>
  <si>
    <t>Hordozó vastagsága:</t>
  </si>
  <si>
    <t>5. furatba kerülő paszta</t>
  </si>
  <si>
    <t>Vp_f=</t>
  </si>
  <si>
    <t>6. furatkitöltés %-ban</t>
  </si>
  <si>
    <t>Vfurat=</t>
  </si>
  <si>
    <t>Kitöltés=</t>
  </si>
  <si>
    <t xml:space="preserve"> ------&gt;</t>
  </si>
  <si>
    <t>%</t>
  </si>
  <si>
    <t>Home plate:</t>
  </si>
  <si>
    <t>(25 alsó többszörösére kerekítve)</t>
  </si>
  <si>
    <t>Inverz home plate:</t>
  </si>
  <si>
    <t xml:space="preserve"> -tól</t>
  </si>
  <si>
    <t xml:space="preserve"> -ig</t>
  </si>
  <si>
    <t>Ha van redukció</t>
  </si>
  <si>
    <t>Ha van redukció:</t>
  </si>
  <si>
    <t>Redukció kisokos:</t>
  </si>
  <si>
    <t>Osp</t>
  </si>
  <si>
    <t>nincs</t>
  </si>
  <si>
    <t>ImAg</t>
  </si>
  <si>
    <t>van</t>
  </si>
  <si>
    <t>HASL</t>
  </si>
  <si>
    <t>ENIG</t>
  </si>
  <si>
    <t>Forraszpaszta típus</t>
  </si>
  <si>
    <t>ImAu</t>
  </si>
  <si>
    <t>árammentes Ni</t>
  </si>
  <si>
    <t>QFP tokozás:</t>
  </si>
  <si>
    <t>A kisebbik oldal méretébe bele kell férnie 5 nagyobb golyónak.</t>
  </si>
  <si>
    <t>Ha nem fér bele akkor másik típusú paszta ajánlott.</t>
  </si>
  <si>
    <t>PBGA tokozás:</t>
  </si>
  <si>
    <t>Stencilapertúra</t>
  </si>
  <si>
    <t>Apertúratervezéses</t>
  </si>
  <si>
    <t>(PBGA ugyanez csak az átmérővel)</t>
  </si>
  <si>
    <t xml:space="preserve">Ha a raszterosztás &gt;1,27mm akkor az apertúra átmérőjére kell a redukció (kör marad). </t>
  </si>
  <si>
    <t>CBGA tokozás:</t>
  </si>
  <si>
    <t>raszterosztás:</t>
  </si>
  <si>
    <t>Túlnyomtatás kell. Nincs redukció.</t>
  </si>
  <si>
    <t>Ha a raszterosztás &lt;1,27mm akkor az apertúra négyzet, oldala a kontaktusfelület átmérőjével egyező.</t>
  </si>
  <si>
    <t>Alkatrész:</t>
  </si>
  <si>
    <t>HA TÖBB IS VAN AKKOR TIPPRE
A KISEBB FÓLIAVASTAGSÁG KELL.</t>
  </si>
  <si>
    <t>Hibaráta</t>
  </si>
  <si>
    <t>NINCS középponti eltolódás:</t>
  </si>
  <si>
    <t>σ (szórás):</t>
  </si>
  <si>
    <t>SL:</t>
  </si>
  <si>
    <t>USL, felső tűréshatár:</t>
  </si>
  <si>
    <t>LSL, alsó tűréshatár:</t>
  </si>
  <si>
    <t>Képességi index:</t>
  </si>
  <si>
    <t>A verzió:</t>
  </si>
  <si>
    <t>B verzió:</t>
  </si>
  <si>
    <t>USL:</t>
  </si>
  <si>
    <t>LSL:</t>
  </si>
  <si>
    <t>&lt;--- ezt nem tudom
hogy elszámoltuk
óran vagy csak
nem működik</t>
  </si>
  <si>
    <t>Intervallumszélesség:</t>
  </si>
  <si>
    <t>&lt;--- ezt kell kikerseni
a táblázatból</t>
  </si>
  <si>
    <t>Középponti eltolódás esetén:</t>
  </si>
  <si>
    <t>X (átl. mért érték):</t>
  </si>
  <si>
    <t>T (célérték):</t>
  </si>
  <si>
    <t>Korrigált folyamatképességi index:</t>
  </si>
  <si>
    <t>Alkatrésznél</t>
  </si>
  <si>
    <t>Rövidebbik oldal:</t>
  </si>
  <si>
    <t>SL=</t>
  </si>
  <si>
    <t>Cp=</t>
  </si>
  <si>
    <t>Cpk=</t>
  </si>
  <si>
    <t>Képességi index (Cp)=</t>
  </si>
  <si>
    <t>USL=</t>
  </si>
  <si>
    <t>LSL=</t>
  </si>
  <si>
    <t>&lt;-- itt vagy 750 vagy 800. A feladatokban más-más van :/</t>
  </si>
  <si>
    <r>
      <t>Cp&lt;1, azaz intervallum&lt;3</t>
    </r>
    <r>
      <rPr>
        <sz val="11"/>
        <color theme="1"/>
        <rFont val="Calibri"/>
        <family val="2"/>
        <charset val="238"/>
      </rPr>
      <t>σ</t>
    </r>
    <r>
      <rPr>
        <sz val="9.9"/>
        <color theme="1"/>
        <rFont val="Calibri"/>
        <family val="2"/>
        <charset val="238"/>
      </rPr>
      <t xml:space="preserve"> esetén
nincs értelme kisámolni a hibarátát.</t>
    </r>
  </si>
  <si>
    <t>Alkatrész + eltolódás</t>
  </si>
  <si>
    <t>Helyrehúzó erő</t>
  </si>
  <si>
    <t>X (átlagos eltérés):</t>
  </si>
  <si>
    <t>Alkatrész magasság:</t>
  </si>
  <si>
    <t>Alsó oldali fémezés hossza:</t>
  </si>
  <si>
    <r>
      <t>γ</t>
    </r>
    <r>
      <rPr>
        <sz val="7.7"/>
        <color theme="1"/>
        <rFont val="Calibri"/>
        <family val="2"/>
        <charset val="238"/>
      </rPr>
      <t>LG</t>
    </r>
    <r>
      <rPr>
        <sz val="9"/>
        <color theme="1"/>
        <rFont val="Calibri"/>
        <family val="2"/>
        <charset val="238"/>
      </rPr>
      <t xml:space="preserve"> =</t>
    </r>
  </si>
  <si>
    <t>mN/m</t>
  </si>
  <si>
    <t>θ=</t>
  </si>
  <si>
    <t>°</t>
  </si>
  <si>
    <t>Felületi fesz:</t>
  </si>
  <si>
    <t>Fst=</t>
  </si>
  <si>
    <t>µN</t>
  </si>
  <si>
    <t>Fr=</t>
  </si>
  <si>
    <t>Alkatrész alsó oldalon</t>
  </si>
  <si>
    <t>Alkatrész tömege:</t>
  </si>
  <si>
    <t>g</t>
  </si>
  <si>
    <t>Kivezetés méretei:</t>
  </si>
  <si>
    <t>x</t>
  </si>
  <si>
    <t>Kivezetés szám:</t>
  </si>
  <si>
    <t>Tartóerő:</t>
  </si>
  <si>
    <t>mN</t>
  </si>
  <si>
    <t>Alkatrész súlya:</t>
  </si>
  <si>
    <t>Fg=</t>
  </si>
  <si>
    <t>&lt;-----\</t>
  </si>
  <si>
    <t>&lt;-----/</t>
  </si>
  <si>
    <t xml:space="preserve">           &gt;---</t>
  </si>
  <si>
    <t>Ft=</t>
  </si>
  <si>
    <t>Ragasztani sose kell.</t>
  </si>
  <si>
    <t>Ha Ft &lt; Fg, akkor át kell tervezni a másik oldalra.</t>
  </si>
  <si>
    <t>Fűtési tényező</t>
  </si>
  <si>
    <t>TAL=</t>
  </si>
  <si>
    <t>s</t>
  </si>
  <si>
    <t>Olvadáspont:</t>
  </si>
  <si>
    <t>°C</t>
  </si>
  <si>
    <t>Csúcshőm.:</t>
  </si>
  <si>
    <t>Fűtési gradiens:</t>
  </si>
  <si>
    <t>°C/s</t>
  </si>
  <si>
    <t>Hűtési gradiens:</t>
  </si>
  <si>
    <t>Felmelegítés ideje:</t>
  </si>
  <si>
    <t>Lehűtés ideje:</t>
  </si>
  <si>
    <t>Fűtési tényező:</t>
  </si>
  <si>
    <r>
      <t>Q</t>
    </r>
    <r>
      <rPr>
        <sz val="11"/>
        <color theme="1"/>
        <rFont val="Calibri"/>
        <family val="2"/>
        <charset val="238"/>
      </rPr>
      <t>ƞ</t>
    </r>
    <r>
      <rPr>
        <sz val="7.7"/>
        <color theme="1"/>
        <rFont val="Calibri"/>
        <family val="2"/>
        <charset val="238"/>
      </rPr>
      <t>=</t>
    </r>
  </si>
  <si>
    <t>kerekítve:</t>
  </si>
  <si>
    <t>Ks</t>
  </si>
  <si>
    <t>AOI berenezés</t>
  </si>
  <si>
    <t>Látótér:</t>
  </si>
  <si>
    <t>pixelszám:</t>
  </si>
  <si>
    <t>x tengely</t>
  </si>
  <si>
    <t>y tengely</t>
  </si>
  <si>
    <t>Egy képpontra mekkora
élhosszúságú terület vetül:</t>
  </si>
  <si>
    <t>L (mm)</t>
  </si>
  <si>
    <t>W (mm)</t>
  </si>
  <si>
    <t>W (µm)</t>
  </si>
  <si>
    <t>&lt;--- ezeknek a tizedénél kell kisebbnek lennie a kapottnak</t>
  </si>
  <si>
    <t>Wetting balance</t>
  </si>
  <si>
    <t>stacioner erő:</t>
  </si>
  <si>
    <t>nedvesítési szög:</t>
  </si>
  <si>
    <t>minta élei:</t>
  </si>
  <si>
    <t>Fmax:</t>
  </si>
  <si>
    <t>Bemerítés mélysége:</t>
  </si>
  <si>
    <t>Forrasz sűrűsége:</t>
  </si>
  <si>
    <t>kg/m3</t>
  </si>
  <si>
    <t>Felhajtóerő:</t>
  </si>
  <si>
    <t>Fb=</t>
  </si>
  <si>
    <r>
      <t>F</t>
    </r>
    <r>
      <rPr>
        <sz val="11"/>
        <color theme="1"/>
        <rFont val="Calibri"/>
        <family val="2"/>
        <charset val="238"/>
      </rPr>
      <t>γ=</t>
    </r>
  </si>
  <si>
    <t>Young modulus</t>
  </si>
  <si>
    <t>ε (relatív deformáció):</t>
  </si>
  <si>
    <t>Szakítószilárdság:</t>
  </si>
  <si>
    <t>Young modulus:</t>
  </si>
  <si>
    <t>E=</t>
  </si>
  <si>
    <t>GPa</t>
  </si>
  <si>
    <t>MPa</t>
  </si>
  <si>
    <t>Huzalkötés szakítószilárdsága</t>
  </si>
  <si>
    <t>Mért maximális erő:</t>
  </si>
  <si>
    <t>Huzalkötés hossza:</t>
  </si>
  <si>
    <t>Két kötés távolsága:</t>
  </si>
  <si>
    <t>Huzal átmérője:</t>
  </si>
  <si>
    <t>Fw1=Fw2=</t>
  </si>
  <si>
    <t>Mérnöki feszültség:</t>
  </si>
  <si>
    <t>σ=</t>
  </si>
  <si>
    <t>Vickers keménység vizsgálat</t>
  </si>
  <si>
    <t>Terhelőerő:</t>
  </si>
  <si>
    <t>N</t>
  </si>
  <si>
    <t>Élhosszak:</t>
  </si>
  <si>
    <t>HV=</t>
  </si>
  <si>
    <t>HV</t>
  </si>
  <si>
    <t>SI rendszerben:</t>
  </si>
  <si>
    <t>Adó megbízhatósági paraméterei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</si>
</sst>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.9"/>
      <color theme="1"/>
      <name val="Calibri"/>
      <family val="2"/>
      <charset val="238"/>
    </font>
    <font>
      <sz val="7.7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0" xfId="0" applyFill="1" applyBorder="1"/>
    <xf numFmtId="0" fontId="0" fillId="3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2" xfId="0" applyBorder="1"/>
    <xf numFmtId="0" fontId="0" fillId="3" borderId="13" xfId="0" applyFill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0" fontId="0" fillId="3" borderId="17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/>
    <xf numFmtId="49" fontId="0" fillId="0" borderId="23" xfId="0" applyNumberFormat="1" applyBorder="1"/>
    <xf numFmtId="49" fontId="0" fillId="0" borderId="24" xfId="0" applyNumberFormat="1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0" fillId="3" borderId="27" xfId="0" applyNumberFormat="1" applyFill="1" applyBorder="1"/>
    <xf numFmtId="0" fontId="0" fillId="0" borderId="1" xfId="0" applyBorder="1"/>
    <xf numFmtId="11" fontId="0" fillId="0" borderId="0" xfId="0" applyNumberFormat="1" applyBorder="1"/>
    <xf numFmtId="11" fontId="0" fillId="3" borderId="6" xfId="0" applyNumberFormat="1" applyFill="1" applyBorder="1"/>
    <xf numFmtId="11" fontId="0" fillId="3" borderId="9" xfId="0" applyNumberFormat="1" applyFill="1" applyBorder="1"/>
    <xf numFmtId="0" fontId="0" fillId="0" borderId="19" xfId="0" applyBorder="1" applyAlignment="1"/>
    <xf numFmtId="0" fontId="0" fillId="0" borderId="28" xfId="0" applyBorder="1"/>
    <xf numFmtId="0" fontId="0" fillId="0" borderId="19" xfId="0" applyBorder="1"/>
    <xf numFmtId="0" fontId="0" fillId="0" borderId="0" xfId="0" applyBorder="1" applyAlignment="1"/>
    <xf numFmtId="0" fontId="3" fillId="0" borderId="0" xfId="0" applyFont="1" applyBorder="1"/>
    <xf numFmtId="11" fontId="0" fillId="3" borderId="4" xfId="0" applyNumberFormat="1" applyFill="1" applyBorder="1"/>
    <xf numFmtId="0" fontId="3" fillId="0" borderId="5" xfId="0" applyFont="1" applyBorder="1"/>
    <xf numFmtId="0" fontId="0" fillId="3" borderId="19" xfId="0" applyFill="1" applyBorder="1"/>
    <xf numFmtId="0" fontId="0" fillId="0" borderId="29" xfId="0" applyBorder="1"/>
    <xf numFmtId="0" fontId="0" fillId="0" borderId="30" xfId="0" applyBorder="1"/>
    <xf numFmtId="0" fontId="1" fillId="0" borderId="18" xfId="0" applyFont="1" applyBorder="1" applyAlignment="1"/>
    <xf numFmtId="11" fontId="0" fillId="2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18" xfId="0" applyFont="1" applyBorder="1"/>
    <xf numFmtId="0" fontId="0" fillId="3" borderId="19" xfId="0" applyFont="1" applyFill="1" applyBorder="1"/>
    <xf numFmtId="0" fontId="0" fillId="3" borderId="28" xfId="0" applyFill="1" applyBorder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1" xfId="0" applyBorder="1"/>
    <xf numFmtId="0" fontId="0" fillId="3" borderId="25" xfId="0" applyFill="1" applyBorder="1"/>
    <xf numFmtId="0" fontId="0" fillId="3" borderId="30" xfId="0" applyFill="1" applyBorder="1"/>
    <xf numFmtId="0" fontId="0" fillId="0" borderId="32" xfId="0" applyBorder="1"/>
    <xf numFmtId="0" fontId="1" fillId="0" borderId="33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1" xfId="0" applyFont="1" applyBorder="1"/>
    <xf numFmtId="0" fontId="0" fillId="0" borderId="11" xfId="0" applyBorder="1"/>
    <xf numFmtId="49" fontId="0" fillId="0" borderId="34" xfId="0" applyNumberFormat="1" applyBorder="1"/>
    <xf numFmtId="0" fontId="1" fillId="0" borderId="35" xfId="0" applyFont="1" applyBorder="1"/>
    <xf numFmtId="0" fontId="4" fillId="0" borderId="5" xfId="0" applyFont="1" applyBorder="1"/>
    <xf numFmtId="0" fontId="0" fillId="0" borderId="18" xfId="0" applyFill="1" applyBorder="1"/>
    <xf numFmtId="0" fontId="0" fillId="3" borderId="18" xfId="0" applyFill="1" applyBorder="1"/>
    <xf numFmtId="0" fontId="0" fillId="0" borderId="36" xfId="0" applyBorder="1"/>
    <xf numFmtId="0" fontId="3" fillId="0" borderId="18" xfId="0" applyFont="1" applyBorder="1"/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6" borderId="0" xfId="0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0" xfId="0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4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598715</xdr:colOff>
      <xdr:row>16</xdr:row>
      <xdr:rowOff>10884</xdr:rowOff>
    </xdr:from>
    <xdr:to>
      <xdr:col>9</xdr:col>
      <xdr:colOff>507274</xdr:colOff>
      <xdr:row>27</xdr:row>
      <xdr:rowOff>84031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091A216-18D3-4140-85B2-966F5C18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15" y="3069770"/>
          <a:ext cx="6095999" cy="210877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22861</xdr:colOff>
      <xdr:row>31</xdr:row>
      <xdr:rowOff>1</xdr:rowOff>
    </xdr:from>
    <xdr:to>
      <xdr:col>3</xdr:col>
      <xdr:colOff>480061</xdr:colOff>
      <xdr:row>35</xdr:row>
      <xdr:rowOff>117635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BFE62A71-4E72-4749-B4B6-2CD99D38C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461" y="5737861"/>
          <a:ext cx="1676400" cy="86439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37</xdr:row>
      <xdr:rowOff>30480</xdr:rowOff>
    </xdr:from>
    <xdr:to>
      <xdr:col>3</xdr:col>
      <xdr:colOff>411619</xdr:colOff>
      <xdr:row>44</xdr:row>
      <xdr:rowOff>122040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D2367A9B-2798-41F0-A441-5049B1748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6865620"/>
          <a:ext cx="1600339" cy="138696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41</xdr:row>
      <xdr:rowOff>15240</xdr:rowOff>
    </xdr:from>
    <xdr:to>
      <xdr:col>5</xdr:col>
      <xdr:colOff>373463</xdr:colOff>
      <xdr:row>43</xdr:row>
      <xdr:rowOff>137202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B3264FE9-5222-4E09-AAAB-E76884B0D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68880" y="7642860"/>
          <a:ext cx="952583" cy="487722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47</xdr:row>
      <xdr:rowOff>60960</xdr:rowOff>
    </xdr:from>
    <xdr:to>
      <xdr:col>3</xdr:col>
      <xdr:colOff>205906</xdr:colOff>
      <xdr:row>49</xdr:row>
      <xdr:rowOff>53371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341EFD66-232C-47C9-8615-E39285F8A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" y="8808720"/>
          <a:ext cx="1912786" cy="358171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58</xdr:row>
      <xdr:rowOff>76200</xdr:rowOff>
    </xdr:from>
    <xdr:to>
      <xdr:col>2</xdr:col>
      <xdr:colOff>101</xdr:colOff>
      <xdr:row>61</xdr:row>
      <xdr:rowOff>38146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B891B042-43A0-46A5-B60D-187A41677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340" y="10873740"/>
          <a:ext cx="1165961" cy="525826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65</xdr:row>
      <xdr:rowOff>60960</xdr:rowOff>
    </xdr:from>
    <xdr:to>
      <xdr:col>5</xdr:col>
      <xdr:colOff>556479</xdr:colOff>
      <xdr:row>68</xdr:row>
      <xdr:rowOff>68629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B3EBC979-BCB1-44A4-A47B-C36BB3CA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7780" y="12169140"/>
          <a:ext cx="2530059" cy="563929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74</xdr:row>
      <xdr:rowOff>38100</xdr:rowOff>
    </xdr:from>
    <xdr:to>
      <xdr:col>1</xdr:col>
      <xdr:colOff>602080</xdr:colOff>
      <xdr:row>80</xdr:row>
      <xdr:rowOff>45816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C7BA913E-7D83-46EF-91C9-BA47BE8C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340" y="13815060"/>
          <a:ext cx="1158340" cy="111261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72</xdr:row>
      <xdr:rowOff>38100</xdr:rowOff>
    </xdr:from>
    <xdr:to>
      <xdr:col>4</xdr:col>
      <xdr:colOff>118</xdr:colOff>
      <xdr:row>76</xdr:row>
      <xdr:rowOff>15302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F5A21739-8BF3-446D-861B-4C68F6CF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95400" y="13441680"/>
          <a:ext cx="1356478" cy="716342"/>
        </a:xfrm>
        <a:prstGeom prst="rect">
          <a:avLst/>
        </a:prstGeom>
      </xdr:spPr>
    </xdr:pic>
    <xdr:clientData/>
  </xdr:twoCellAnchor>
  <xdr:twoCellAnchor editAs="oneCell">
    <xdr:from>
      <xdr:col>5</xdr:col>
      <xdr:colOff>830580</xdr:colOff>
      <xdr:row>65</xdr:row>
      <xdr:rowOff>30480</xdr:rowOff>
    </xdr:from>
    <xdr:to>
      <xdr:col>8</xdr:col>
      <xdr:colOff>815518</xdr:colOff>
      <xdr:row>68</xdr:row>
      <xdr:rowOff>137217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2754D716-697D-4BA4-AFB6-89C78FAF1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78580" y="12138660"/>
          <a:ext cx="2057578" cy="662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460785</xdr:colOff>
      <xdr:row>7</xdr:row>
      <xdr:rowOff>44824</xdr:rowOff>
    </xdr:from>
    <xdr:to>
      <xdr:col>6</xdr:col>
      <xdr:colOff>600635</xdr:colOff>
      <xdr:row>10</xdr:row>
      <xdr:rowOff>128017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A4FC8A8-91F4-44B1-8EA3-891C3C5C3C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335" t="32252" r="32165" b="37530"/>
        <a:stretch/>
      </xdr:blipFill>
      <xdr:spPr>
        <a:xfrm>
          <a:off x="3508785" y="1308848"/>
          <a:ext cx="749450" cy="621075"/>
        </a:xfrm>
        <a:prstGeom prst="rect">
          <a:avLst/>
        </a:prstGeom>
      </xdr:spPr>
    </xdr:pic>
    <xdr:clientData/>
  </xdr:twoCellAnchor>
  <xdr:twoCellAnchor editAs="oneCell">
    <xdr:from>
      <xdr:col>1</xdr:col>
      <xdr:colOff>26893</xdr:colOff>
      <xdr:row>27</xdr:row>
      <xdr:rowOff>35858</xdr:rowOff>
    </xdr:from>
    <xdr:to>
      <xdr:col>2</xdr:col>
      <xdr:colOff>510987</xdr:colOff>
      <xdr:row>33</xdr:row>
      <xdr:rowOff>98656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3F8E6AE4-D657-4273-93ED-3597B484F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493" y="4930587"/>
          <a:ext cx="1093694" cy="1138563"/>
        </a:xfrm>
        <a:prstGeom prst="rect">
          <a:avLst/>
        </a:prstGeom>
      </xdr:spPr>
    </xdr:pic>
    <xdr:clientData/>
  </xdr:twoCellAnchor>
  <xdr:oneCellAnchor>
    <xdr:from>
      <xdr:col>5</xdr:col>
      <xdr:colOff>26893</xdr:colOff>
      <xdr:row>27</xdr:row>
      <xdr:rowOff>35858</xdr:rowOff>
    </xdr:from>
    <xdr:ext cx="1093694" cy="1138563"/>
    <xdr:pic>
      <xdr:nvPicPr>
        <xdr:cNvPr id="4" name="Kép 3">
          <a:extLst>
            <a:ext uri="{FF2B5EF4-FFF2-40B4-BE49-F238E27FC236}">
              <a16:creationId xmlns:a16="http://schemas.microsoft.com/office/drawing/2014/main" id="{2C750D0F-5654-4C0C-B3D6-9902876A0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493" y="4930587"/>
          <a:ext cx="1093694" cy="1138563"/>
        </a:xfrm>
        <a:prstGeom prst="rect">
          <a:avLst/>
        </a:prstGeom>
      </xdr:spPr>
    </xdr:pic>
    <xdr:clientData/>
  </xdr:oneCellAnchor>
  <xdr:twoCellAnchor editAs="oneCell">
    <xdr:from>
      <xdr:col>1</xdr:col>
      <xdr:colOff>26894</xdr:colOff>
      <xdr:row>38</xdr:row>
      <xdr:rowOff>53789</xdr:rowOff>
    </xdr:from>
    <xdr:to>
      <xdr:col>2</xdr:col>
      <xdr:colOff>488323</xdr:colOff>
      <xdr:row>44</xdr:row>
      <xdr:rowOff>98613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E6BCEE5B-109B-4116-9F8C-CE705693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494" y="6920754"/>
          <a:ext cx="1071029" cy="1120588"/>
        </a:xfrm>
        <a:prstGeom prst="rect">
          <a:avLst/>
        </a:prstGeom>
      </xdr:spPr>
    </xdr:pic>
    <xdr:clientData/>
  </xdr:twoCellAnchor>
  <xdr:oneCellAnchor>
    <xdr:from>
      <xdr:col>5</xdr:col>
      <xdr:colOff>26894</xdr:colOff>
      <xdr:row>38</xdr:row>
      <xdr:rowOff>53789</xdr:rowOff>
    </xdr:from>
    <xdr:ext cx="1071029" cy="1120588"/>
    <xdr:pic>
      <xdr:nvPicPr>
        <xdr:cNvPr id="6" name="Kép 5">
          <a:extLst>
            <a:ext uri="{FF2B5EF4-FFF2-40B4-BE49-F238E27FC236}">
              <a16:creationId xmlns:a16="http://schemas.microsoft.com/office/drawing/2014/main" id="{C3AB89E6-6915-4C6D-B812-28C193772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494" y="6920754"/>
          <a:ext cx="1071029" cy="1120588"/>
        </a:xfrm>
        <a:prstGeom prst="rect">
          <a:avLst/>
        </a:prstGeom>
      </xdr:spPr>
    </xdr:pic>
    <xdr:clientData/>
  </xdr:oneCellAnchor>
  <xdr:twoCellAnchor editAs="oneCell">
    <xdr:from>
      <xdr:col>1</xdr:col>
      <xdr:colOff>8965</xdr:colOff>
      <xdr:row>54</xdr:row>
      <xdr:rowOff>0</xdr:rowOff>
    </xdr:from>
    <xdr:to>
      <xdr:col>4</xdr:col>
      <xdr:colOff>835262</xdr:colOff>
      <xdr:row>60</xdr:row>
      <xdr:rowOff>8966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38F22B72-2222-4E49-901C-A5088D21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565" y="9762565"/>
          <a:ext cx="2950932" cy="108473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74</xdr:row>
      <xdr:rowOff>8964</xdr:rowOff>
    </xdr:from>
    <xdr:to>
      <xdr:col>2</xdr:col>
      <xdr:colOff>597050</xdr:colOff>
      <xdr:row>77</xdr:row>
      <xdr:rowOff>74228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54782A6A-8CD9-44F2-B9C9-31EBC9D58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335" t="32252" r="32165" b="37530"/>
        <a:stretch/>
      </xdr:blipFill>
      <xdr:spPr>
        <a:xfrm>
          <a:off x="457200" y="13384305"/>
          <a:ext cx="749450" cy="62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</xdr:colOff>
      <xdr:row>4</xdr:row>
      <xdr:rowOff>114300</xdr:rowOff>
    </xdr:from>
    <xdr:to>
      <xdr:col>9</xdr:col>
      <xdr:colOff>541112</xdr:colOff>
      <xdr:row>6</xdr:row>
      <xdr:rowOff>137194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C06623E-05DD-458C-BDEE-3542E78C9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080" y="853440"/>
          <a:ext cx="1059272" cy="396274"/>
        </a:xfrm>
        <a:prstGeom prst="rect">
          <a:avLst/>
        </a:prstGeom>
      </xdr:spPr>
    </xdr:pic>
    <xdr:clientData/>
  </xdr:twoCellAnchor>
  <xdr:twoCellAnchor editAs="oneCell">
    <xdr:from>
      <xdr:col>7</xdr:col>
      <xdr:colOff>83820</xdr:colOff>
      <xdr:row>10</xdr:row>
      <xdr:rowOff>129540</xdr:rowOff>
    </xdr:from>
    <xdr:to>
      <xdr:col>7</xdr:col>
      <xdr:colOff>845886</xdr:colOff>
      <xdr:row>12</xdr:row>
      <xdr:rowOff>175296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75A96206-1DF1-450D-9E27-FC0777404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4860" y="1615440"/>
          <a:ext cx="762066" cy="419136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</xdr:colOff>
      <xdr:row>22</xdr:row>
      <xdr:rowOff>114300</xdr:rowOff>
    </xdr:from>
    <xdr:to>
      <xdr:col>9</xdr:col>
      <xdr:colOff>519215</xdr:colOff>
      <xdr:row>25</xdr:row>
      <xdr:rowOff>167704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B405E12D-B5C0-4F3C-9B51-7D5ECD71D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7820" y="4175760"/>
          <a:ext cx="1075475" cy="617284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</xdr:colOff>
      <xdr:row>8</xdr:row>
      <xdr:rowOff>7620</xdr:rowOff>
    </xdr:from>
    <xdr:to>
      <xdr:col>14</xdr:col>
      <xdr:colOff>152619</xdr:colOff>
      <xdr:row>16</xdr:row>
      <xdr:rowOff>127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408FE37-BB5D-4DDD-8E0F-1BEFABAC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52260" y="1493520"/>
          <a:ext cx="2522439" cy="1470787"/>
        </a:xfrm>
        <a:prstGeom prst="rect">
          <a:avLst/>
        </a:prstGeom>
      </xdr:spPr>
    </xdr:pic>
    <xdr:clientData/>
  </xdr:twoCellAnchor>
  <xdr:twoCellAnchor editAs="oneCell">
    <xdr:from>
      <xdr:col>10</xdr:col>
      <xdr:colOff>54429</xdr:colOff>
      <xdr:row>37</xdr:row>
      <xdr:rowOff>152400</xdr:rowOff>
    </xdr:from>
    <xdr:to>
      <xdr:col>14</xdr:col>
      <xdr:colOff>138468</xdr:colOff>
      <xdr:row>45</xdr:row>
      <xdr:rowOff>166679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78180CA1-01BC-4511-BD5D-A7AD265C9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9400" y="7097486"/>
          <a:ext cx="2522439" cy="1494736"/>
        </a:xfrm>
        <a:prstGeom prst="rect">
          <a:avLst/>
        </a:prstGeom>
      </xdr:spPr>
    </xdr:pic>
    <xdr:clientData/>
  </xdr:twoCellAnchor>
  <xdr:twoCellAnchor editAs="oneCell">
    <xdr:from>
      <xdr:col>10</xdr:col>
      <xdr:colOff>43544</xdr:colOff>
      <xdr:row>53</xdr:row>
      <xdr:rowOff>163286</xdr:rowOff>
    </xdr:from>
    <xdr:to>
      <xdr:col>12</xdr:col>
      <xdr:colOff>587830</xdr:colOff>
      <xdr:row>59</xdr:row>
      <xdr:rowOff>93092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A5F27191-0F02-49A3-90A6-5FC5FD6BC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18515" y="10112829"/>
          <a:ext cx="1763486" cy="1094577"/>
        </a:xfrm>
        <a:prstGeom prst="rect">
          <a:avLst/>
        </a:prstGeom>
      </xdr:spPr>
    </xdr:pic>
    <xdr:clientData/>
  </xdr:twoCellAnchor>
  <xdr:twoCellAnchor editAs="oneCell">
    <xdr:from>
      <xdr:col>0</xdr:col>
      <xdr:colOff>87085</xdr:colOff>
      <xdr:row>77</xdr:row>
      <xdr:rowOff>54430</xdr:rowOff>
    </xdr:from>
    <xdr:to>
      <xdr:col>5</xdr:col>
      <xdr:colOff>135274</xdr:colOff>
      <xdr:row>85</xdr:row>
      <xdr:rowOff>67621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2049655B-AB22-4FBA-89FF-E2163A5A6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085" y="14630401"/>
          <a:ext cx="3368332" cy="1493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103873</xdr:colOff>
      <xdr:row>21</xdr:row>
      <xdr:rowOff>91440</xdr:rowOff>
    </xdr:from>
    <xdr:to>
      <xdr:col>6</xdr:col>
      <xdr:colOff>762000</xdr:colOff>
      <xdr:row>26</xdr:row>
      <xdr:rowOff>99060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1A038553-AE26-42DC-8961-3D78D6522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113" y="3977640"/>
          <a:ext cx="2121167" cy="937260"/>
        </a:xfrm>
        <a:prstGeom prst="rect">
          <a:avLst/>
        </a:prstGeom>
      </xdr:spPr>
    </xdr:pic>
    <xdr:clientData/>
  </xdr:twoCellAnchor>
  <xdr:twoCellAnchor editAs="oneCell">
    <xdr:from>
      <xdr:col>4</xdr:col>
      <xdr:colOff>589018</xdr:colOff>
      <xdr:row>31</xdr:row>
      <xdr:rowOff>83820</xdr:rowOff>
    </xdr:from>
    <xdr:to>
      <xdr:col>6</xdr:col>
      <xdr:colOff>785006</xdr:colOff>
      <xdr:row>39</xdr:row>
      <xdr:rowOff>60960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44472B0-05B7-482E-B92F-59D3A8AE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258" y="5814060"/>
          <a:ext cx="1659028" cy="145542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23</xdr:row>
      <xdr:rowOff>76200</xdr:rowOff>
    </xdr:from>
    <xdr:to>
      <xdr:col>2</xdr:col>
      <xdr:colOff>464905</xdr:colOff>
      <xdr:row>25</xdr:row>
      <xdr:rowOff>144818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83F4A2E-3C8F-43E0-B697-62EA0FEF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040" y="4328160"/>
          <a:ext cx="983065" cy="434378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56</xdr:row>
      <xdr:rowOff>114074</xdr:rowOff>
    </xdr:from>
    <xdr:to>
      <xdr:col>8</xdr:col>
      <xdr:colOff>556260</xdr:colOff>
      <xdr:row>62</xdr:row>
      <xdr:rowOff>151702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6A4C69C1-307E-4A7F-B735-4A7FAF31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76600" y="10492514"/>
          <a:ext cx="3131820" cy="1150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533B-9846-4D43-934D-2523630EE416}">
  <dimension ref="A1:L82"/>
  <sheetViews>
    <sheetView zoomScale="85" zoomScaleNormal="85" workbookViewId="0">
      <selection activeCell="G2" sqref="G2:I7"/>
    </sheetView>
  </sheetViews>
  <sheetFormatPr defaultRowHeight="14.4" x14ac:dyDescent="0.3"/>
  <cols>
    <col min="4" max="4" width="12" bestFit="1" customWidth="1"/>
    <col min="6" max="6" width="12.44140625" bestFit="1" customWidth="1"/>
    <col min="9" max="9" width="12.44140625" bestFit="1" customWidth="1"/>
  </cols>
  <sheetData>
    <row r="1" spans="1:11" ht="15" thickBot="1" x14ac:dyDescent="0.35">
      <c r="A1" s="78" t="s">
        <v>0</v>
      </c>
      <c r="B1" s="79"/>
      <c r="C1" s="80"/>
      <c r="D1" s="3"/>
      <c r="E1" s="3"/>
      <c r="F1" s="3"/>
      <c r="G1" s="3"/>
      <c r="H1" s="3"/>
      <c r="I1" s="3"/>
      <c r="J1" s="3"/>
      <c r="K1" s="4"/>
    </row>
    <row r="2" spans="1:11" ht="15" thickBot="1" x14ac:dyDescent="0.35">
      <c r="A2" s="5"/>
      <c r="B2" s="6" t="s">
        <v>6</v>
      </c>
      <c r="C2" s="6"/>
      <c r="D2" s="6"/>
      <c r="E2" s="6"/>
      <c r="F2" s="6"/>
      <c r="G2" s="23" t="s">
        <v>7</v>
      </c>
      <c r="H2" s="21" t="s">
        <v>8</v>
      </c>
      <c r="I2" s="21" t="s">
        <v>9</v>
      </c>
      <c r="J2" s="21" t="s">
        <v>10</v>
      </c>
      <c r="K2" s="22" t="s">
        <v>11</v>
      </c>
    </row>
    <row r="3" spans="1:11" ht="15" thickTop="1" x14ac:dyDescent="0.3">
      <c r="A3" s="5" t="s">
        <v>1</v>
      </c>
      <c r="B3" s="8"/>
      <c r="C3" s="6"/>
      <c r="D3" s="14" t="s">
        <v>41</v>
      </c>
      <c r="E3" s="15">
        <f>B6+B5</f>
        <v>0</v>
      </c>
      <c r="F3" s="6" t="s">
        <v>38</v>
      </c>
      <c r="G3" s="24" t="s">
        <v>12</v>
      </c>
      <c r="H3" s="6">
        <v>1</v>
      </c>
      <c r="I3" s="6">
        <v>0.5</v>
      </c>
      <c r="J3" s="6">
        <v>0.35</v>
      </c>
      <c r="K3" s="7">
        <v>0.25</v>
      </c>
    </row>
    <row r="4" spans="1:11" x14ac:dyDescent="0.3">
      <c r="A4" s="5" t="s">
        <v>2</v>
      </c>
      <c r="B4" s="8"/>
      <c r="C4" s="6"/>
      <c r="D4" s="16" t="s">
        <v>42</v>
      </c>
      <c r="E4" s="17">
        <f>B3-2*B6</f>
        <v>0</v>
      </c>
      <c r="F4" s="6" t="s">
        <v>38</v>
      </c>
      <c r="G4" s="24" t="s">
        <v>13</v>
      </c>
      <c r="H4" s="6">
        <v>1.5</v>
      </c>
      <c r="I4" s="6">
        <v>0.8</v>
      </c>
      <c r="J4" s="6">
        <v>0.4</v>
      </c>
      <c r="K4" s="7">
        <v>0.3</v>
      </c>
    </row>
    <row r="5" spans="1:11" ht="15" thickBot="1" x14ac:dyDescent="0.35">
      <c r="A5" s="5" t="s">
        <v>3</v>
      </c>
      <c r="B5" s="8"/>
      <c r="C5" s="6"/>
      <c r="D5" s="18" t="s">
        <v>43</v>
      </c>
      <c r="E5" s="19">
        <f>B4+0.1</f>
        <v>0.1</v>
      </c>
      <c r="F5" s="6" t="s">
        <v>38</v>
      </c>
      <c r="G5" s="24" t="s">
        <v>14</v>
      </c>
      <c r="H5" s="6">
        <v>2</v>
      </c>
      <c r="I5" s="6">
        <v>1.25</v>
      </c>
      <c r="J5" s="6">
        <v>0.5</v>
      </c>
      <c r="K5" s="7">
        <v>0.4</v>
      </c>
    </row>
    <row r="6" spans="1:11" ht="15" thickTop="1" x14ac:dyDescent="0.3">
      <c r="A6" s="5" t="s">
        <v>4</v>
      </c>
      <c r="B6" s="8"/>
      <c r="C6" s="6"/>
      <c r="D6" s="6"/>
      <c r="E6" s="6"/>
      <c r="F6" s="6"/>
      <c r="G6" s="24" t="s">
        <v>15</v>
      </c>
      <c r="H6" s="6">
        <v>3.2</v>
      </c>
      <c r="I6" s="6">
        <v>1.6</v>
      </c>
      <c r="J6" s="6">
        <v>0.6</v>
      </c>
      <c r="K6" s="7">
        <v>0.5</v>
      </c>
    </row>
    <row r="7" spans="1:11" ht="15" thickBot="1" x14ac:dyDescent="0.35">
      <c r="A7" s="10"/>
      <c r="B7" s="11"/>
      <c r="C7" s="11"/>
      <c r="D7" s="11"/>
      <c r="E7" s="11"/>
      <c r="F7" s="11"/>
      <c r="G7" s="25" t="s">
        <v>16</v>
      </c>
      <c r="H7" s="11">
        <v>0.6</v>
      </c>
      <c r="I7" s="11">
        <v>0.3</v>
      </c>
      <c r="J7" s="11"/>
      <c r="K7" s="12"/>
    </row>
    <row r="8" spans="1:11" ht="15" thickBot="1" x14ac:dyDescent="0.35">
      <c r="B8" s="2"/>
      <c r="G8" s="1"/>
    </row>
    <row r="9" spans="1:11" ht="15" thickBot="1" x14ac:dyDescent="0.35">
      <c r="A9" s="78" t="s">
        <v>17</v>
      </c>
      <c r="B9" s="80"/>
      <c r="C9" s="3"/>
      <c r="D9" s="3"/>
      <c r="E9" s="3"/>
      <c r="F9" s="3"/>
      <c r="G9" s="3"/>
      <c r="H9" s="3"/>
      <c r="I9" s="3"/>
      <c r="J9" s="3"/>
      <c r="K9" s="4"/>
    </row>
    <row r="10" spans="1:11" x14ac:dyDescent="0.3">
      <c r="A10" s="5"/>
      <c r="B10" s="6"/>
      <c r="C10" s="6"/>
      <c r="D10" s="6"/>
      <c r="E10" s="6"/>
      <c r="F10" s="6"/>
      <c r="G10" s="6"/>
      <c r="H10" s="6"/>
      <c r="I10" s="6" t="s">
        <v>21</v>
      </c>
      <c r="J10" s="6"/>
      <c r="K10" s="7"/>
    </row>
    <row r="11" spans="1:11" x14ac:dyDescent="0.3">
      <c r="A11" s="5" t="s">
        <v>18</v>
      </c>
      <c r="B11" s="6" t="s">
        <v>19</v>
      </c>
      <c r="C11" s="6"/>
      <c r="D11" s="6"/>
      <c r="E11" s="6"/>
      <c r="F11" s="6"/>
      <c r="G11" s="6"/>
      <c r="H11" s="6"/>
      <c r="I11" s="6" t="s">
        <v>22</v>
      </c>
      <c r="J11" s="6"/>
      <c r="K11" s="7"/>
    </row>
    <row r="12" spans="1:11" x14ac:dyDescent="0.3">
      <c r="A12" s="5"/>
      <c r="B12" s="89" t="s">
        <v>20</v>
      </c>
      <c r="C12" s="89"/>
      <c r="D12" s="89"/>
      <c r="E12" s="89"/>
      <c r="F12" s="89"/>
      <c r="G12" s="6"/>
      <c r="H12" s="6"/>
      <c r="I12" s="6" t="s">
        <v>23</v>
      </c>
      <c r="J12" s="6"/>
      <c r="K12" s="7"/>
    </row>
    <row r="13" spans="1:11" ht="14.4" customHeight="1" x14ac:dyDescent="0.3">
      <c r="A13" s="5"/>
      <c r="B13" s="87" t="s">
        <v>24</v>
      </c>
      <c r="C13" s="87"/>
      <c r="D13" s="87"/>
      <c r="E13" s="87"/>
      <c r="F13" s="87"/>
      <c r="G13" s="87"/>
      <c r="H13" s="87"/>
      <c r="I13" s="81" t="s">
        <v>25</v>
      </c>
      <c r="J13" s="85"/>
      <c r="K13" s="88"/>
    </row>
    <row r="14" spans="1:11" x14ac:dyDescent="0.3">
      <c r="A14" s="5"/>
      <c r="B14" s="87"/>
      <c r="C14" s="87"/>
      <c r="D14" s="87"/>
      <c r="E14" s="87"/>
      <c r="F14" s="87"/>
      <c r="G14" s="87"/>
      <c r="H14" s="87"/>
      <c r="I14" s="85"/>
      <c r="J14" s="85"/>
      <c r="K14" s="88"/>
    </row>
    <row r="15" spans="1:11" x14ac:dyDescent="0.3">
      <c r="A15" s="5"/>
      <c r="B15" s="77" t="s">
        <v>26</v>
      </c>
      <c r="C15" s="77"/>
      <c r="D15" s="77"/>
      <c r="E15" s="77"/>
      <c r="F15" s="77"/>
      <c r="G15" s="77"/>
      <c r="H15" s="77"/>
      <c r="I15" s="6" t="s">
        <v>27</v>
      </c>
      <c r="J15" s="6"/>
      <c r="K15" s="7"/>
    </row>
    <row r="16" spans="1:11" ht="15" thickBot="1" x14ac:dyDescent="0.35">
      <c r="A16" s="10"/>
      <c r="B16" s="11" t="s">
        <v>28</v>
      </c>
      <c r="C16" s="11"/>
      <c r="D16" s="11"/>
      <c r="E16" s="11"/>
      <c r="F16" s="11"/>
      <c r="G16" s="11"/>
      <c r="H16" s="11"/>
      <c r="I16" s="11"/>
      <c r="J16" s="11"/>
      <c r="K16" s="12"/>
    </row>
    <row r="29" spans="1:11" ht="15" thickBot="1" x14ac:dyDescent="0.35"/>
    <row r="30" spans="1:11" ht="15" thickBot="1" x14ac:dyDescent="0.35">
      <c r="A30" s="45" t="s">
        <v>47</v>
      </c>
      <c r="B30" s="35"/>
      <c r="C30" s="36"/>
      <c r="D30" s="37"/>
      <c r="E30" s="3"/>
      <c r="F30" s="3"/>
      <c r="G30" s="3"/>
      <c r="H30" s="3"/>
      <c r="I30" s="3"/>
      <c r="J30" s="3"/>
      <c r="K30" s="5"/>
    </row>
    <row r="31" spans="1:11" ht="15" thickBot="1" x14ac:dyDescent="0.35">
      <c r="A31" s="5"/>
      <c r="B31" s="6"/>
      <c r="C31" s="6"/>
      <c r="D31" s="6"/>
      <c r="E31" s="6"/>
      <c r="F31" s="6" t="s">
        <v>6</v>
      </c>
      <c r="G31" s="6"/>
      <c r="H31" s="6"/>
      <c r="I31" s="6"/>
      <c r="J31" s="6"/>
      <c r="K31" s="5"/>
    </row>
    <row r="32" spans="1:11" ht="15.6" thickTop="1" thickBot="1" x14ac:dyDescent="0.35">
      <c r="A32" s="31" t="s">
        <v>32</v>
      </c>
      <c r="B32" s="6"/>
      <c r="C32" s="6"/>
      <c r="D32" s="6"/>
      <c r="E32" s="6" t="s">
        <v>29</v>
      </c>
      <c r="F32" s="8"/>
      <c r="G32" s="6"/>
      <c r="H32" s="29" t="s">
        <v>31</v>
      </c>
      <c r="I32" s="30" t="e">
        <f>(F35*(F33/1000))/((F32*F36)/1000)</f>
        <v>#DIV/0!</v>
      </c>
      <c r="J32" s="39" t="s">
        <v>39</v>
      </c>
      <c r="K32" s="5"/>
    </row>
    <row r="33" spans="1:12" x14ac:dyDescent="0.3">
      <c r="A33" s="5"/>
      <c r="B33" s="6"/>
      <c r="C33" s="6"/>
      <c r="D33" s="6"/>
      <c r="E33" s="6" t="s">
        <v>1</v>
      </c>
      <c r="F33" s="8"/>
      <c r="G33" s="6"/>
      <c r="H33" s="6"/>
      <c r="I33" s="6"/>
      <c r="J33" s="6"/>
      <c r="K33" s="5"/>
    </row>
    <row r="34" spans="1:12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5"/>
    </row>
    <row r="35" spans="1:12" ht="14.4" customHeight="1" x14ac:dyDescent="0.3">
      <c r="A35" s="5"/>
      <c r="B35" s="6"/>
      <c r="C35" s="6"/>
      <c r="D35" s="6"/>
      <c r="E35" s="6" t="s">
        <v>30</v>
      </c>
      <c r="F35" s="32">
        <v>1.7199999999999999E-8</v>
      </c>
      <c r="G35" s="81" t="s">
        <v>48</v>
      </c>
      <c r="H35" s="81"/>
      <c r="I35" s="81"/>
      <c r="J35" s="82"/>
      <c r="K35" s="5"/>
    </row>
    <row r="36" spans="1:12" ht="15" thickBot="1" x14ac:dyDescent="0.35">
      <c r="A36" s="10"/>
      <c r="B36" s="11"/>
      <c r="C36" s="11"/>
      <c r="D36" s="11"/>
      <c r="E36" s="11" t="s">
        <v>3</v>
      </c>
      <c r="F36" s="11">
        <v>3.4999999999999997E-5</v>
      </c>
      <c r="G36" s="83"/>
      <c r="H36" s="83"/>
      <c r="I36" s="83"/>
      <c r="J36" s="76"/>
      <c r="K36" s="5"/>
    </row>
    <row r="37" spans="1:12" ht="15" thickBot="1" x14ac:dyDescent="0.35">
      <c r="A37" s="5"/>
      <c r="B37" s="6"/>
      <c r="C37" s="6"/>
      <c r="D37" s="6"/>
      <c r="E37" s="6"/>
      <c r="F37" s="6"/>
      <c r="G37" s="6"/>
      <c r="H37" s="6"/>
      <c r="I37" s="6"/>
      <c r="J37" s="6"/>
      <c r="K37" s="5"/>
    </row>
    <row r="38" spans="1:12" ht="15" thickBot="1" x14ac:dyDescent="0.35">
      <c r="A38" s="31" t="s">
        <v>33</v>
      </c>
      <c r="B38" s="6"/>
      <c r="C38" s="6"/>
      <c r="D38" s="6"/>
      <c r="E38" s="6" t="s">
        <v>29</v>
      </c>
      <c r="F38" s="8"/>
      <c r="G38" s="6"/>
      <c r="H38" s="13" t="s">
        <v>34</v>
      </c>
      <c r="I38" s="40" t="e">
        <f>(F35*(F39/1000))/((F38*F36)/1000)</f>
        <v>#DIV/0!</v>
      </c>
      <c r="J38" s="6" t="s">
        <v>39</v>
      </c>
      <c r="K38" s="5"/>
    </row>
    <row r="39" spans="1:12" x14ac:dyDescent="0.3">
      <c r="A39" s="5"/>
      <c r="B39" s="6"/>
      <c r="C39" s="6"/>
      <c r="D39" s="6"/>
      <c r="E39" s="6" t="s">
        <v>1</v>
      </c>
      <c r="F39" s="8"/>
      <c r="G39" s="6"/>
      <c r="H39" s="5" t="s">
        <v>35</v>
      </c>
      <c r="I39" s="33">
        <f>(F35/(F36))*(SQRT(2)+2*TAN(22.5))</f>
        <v>1.2432735173295063E-3</v>
      </c>
      <c r="J39" s="6" t="s">
        <v>39</v>
      </c>
      <c r="K39" s="84" t="s">
        <v>134</v>
      </c>
      <c r="L39" s="85"/>
    </row>
    <row r="40" spans="1:12" x14ac:dyDescent="0.3">
      <c r="A40" s="5"/>
      <c r="B40" s="6"/>
      <c r="C40" s="6"/>
      <c r="D40" s="6"/>
      <c r="E40" s="6" t="s">
        <v>44</v>
      </c>
      <c r="F40" s="6"/>
      <c r="G40" s="6"/>
      <c r="H40" s="5" t="s">
        <v>36</v>
      </c>
      <c r="I40" s="33" t="e">
        <f>(F35*(F39/1000))/((F38*F36)/1000)</f>
        <v>#DIV/0!</v>
      </c>
      <c r="J40" s="6" t="s">
        <v>39</v>
      </c>
      <c r="K40" s="86"/>
      <c r="L40" s="85"/>
    </row>
    <row r="41" spans="1:12" ht="15" thickBot="1" x14ac:dyDescent="0.35">
      <c r="A41" s="5"/>
      <c r="B41" s="6"/>
      <c r="C41" s="6"/>
      <c r="D41" s="6"/>
      <c r="E41" s="6"/>
      <c r="F41" s="6"/>
      <c r="G41" s="6"/>
      <c r="H41" s="10" t="s">
        <v>37</v>
      </c>
      <c r="I41" s="34" t="e">
        <f>I38+I39+I40</f>
        <v>#DIV/0!</v>
      </c>
      <c r="J41" s="6" t="s">
        <v>39</v>
      </c>
      <c r="K41" s="86"/>
      <c r="L41" s="85"/>
    </row>
    <row r="42" spans="1:12" x14ac:dyDescent="0.3">
      <c r="A42" s="5"/>
      <c r="B42" s="6"/>
      <c r="C42" s="6"/>
      <c r="D42" s="6"/>
      <c r="E42" s="6"/>
      <c r="F42" s="6"/>
      <c r="G42" s="6"/>
      <c r="H42" s="6"/>
      <c r="I42" s="6"/>
      <c r="J42" s="6"/>
      <c r="K42" s="86"/>
      <c r="L42" s="85"/>
    </row>
    <row r="43" spans="1:12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5"/>
    </row>
    <row r="44" spans="1:12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5"/>
    </row>
    <row r="45" spans="1:12" ht="15" thickBot="1" x14ac:dyDescent="0.3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5"/>
    </row>
    <row r="46" spans="1:12" ht="15" thickBot="1" x14ac:dyDescent="0.35"/>
    <row r="47" spans="1:12" ht="15" thickBot="1" x14ac:dyDescent="0.35">
      <c r="A47" s="78" t="s">
        <v>40</v>
      </c>
      <c r="B47" s="79"/>
      <c r="C47" s="79"/>
      <c r="D47" s="80"/>
      <c r="E47" s="3"/>
      <c r="F47" s="4"/>
      <c r="G47" s="6"/>
    </row>
    <row r="48" spans="1:12" x14ac:dyDescent="0.3">
      <c r="A48" s="5"/>
      <c r="B48" s="6"/>
      <c r="C48" s="6"/>
      <c r="D48" s="6"/>
      <c r="E48" s="6"/>
      <c r="F48" s="7"/>
      <c r="G48" s="6"/>
    </row>
    <row r="49" spans="1:9" x14ac:dyDescent="0.3">
      <c r="A49" s="5"/>
      <c r="B49" s="6"/>
      <c r="C49" s="6"/>
      <c r="D49" s="6"/>
      <c r="E49" s="6"/>
      <c r="F49" s="7"/>
      <c r="G49" s="6"/>
    </row>
    <row r="50" spans="1:9" x14ac:dyDescent="0.3">
      <c r="A50" s="5"/>
      <c r="B50" s="6"/>
      <c r="C50" s="6"/>
      <c r="D50" s="6"/>
      <c r="E50" s="6"/>
      <c r="F50" s="7"/>
      <c r="G50" s="6"/>
    </row>
    <row r="51" spans="1:9" x14ac:dyDescent="0.3">
      <c r="A51" s="41" t="s">
        <v>45</v>
      </c>
      <c r="B51" s="6">
        <v>3.8E-3</v>
      </c>
      <c r="C51" s="6"/>
      <c r="D51" s="6"/>
      <c r="E51" s="6"/>
      <c r="F51" s="7"/>
      <c r="G51" s="6"/>
    </row>
    <row r="52" spans="1:9" x14ac:dyDescent="0.3">
      <c r="A52" s="5" t="s">
        <v>46</v>
      </c>
      <c r="B52" s="32">
        <v>1.7199999999999999E-8</v>
      </c>
      <c r="C52" s="6"/>
      <c r="D52" s="6"/>
      <c r="E52" s="6"/>
      <c r="F52" s="7"/>
      <c r="G52" s="6"/>
    </row>
    <row r="53" spans="1:9" ht="15" thickBot="1" x14ac:dyDescent="0.35">
      <c r="A53" s="5"/>
      <c r="B53" s="6"/>
      <c r="C53" s="6"/>
      <c r="D53" s="6"/>
      <c r="E53" s="6"/>
      <c r="F53" s="7"/>
      <c r="G53" s="6"/>
    </row>
    <row r="54" spans="1:9" x14ac:dyDescent="0.3">
      <c r="A54" s="5" t="s">
        <v>49</v>
      </c>
      <c r="B54" s="8"/>
      <c r="C54" s="6"/>
      <c r="D54" s="13" t="s">
        <v>51</v>
      </c>
      <c r="E54" s="40">
        <f>B52*(1+B51*B54)</f>
        <v>1.7199999999999999E-8</v>
      </c>
      <c r="F54" s="7"/>
      <c r="G54" s="6"/>
    </row>
    <row r="55" spans="1:9" ht="15" thickBot="1" x14ac:dyDescent="0.35">
      <c r="A55" s="5" t="s">
        <v>50</v>
      </c>
      <c r="B55" s="8"/>
      <c r="C55" s="6"/>
      <c r="D55" s="10" t="s">
        <v>52</v>
      </c>
      <c r="E55" s="34">
        <f>B52*(1+B51*B55)</f>
        <v>1.7199999999999999E-8</v>
      </c>
      <c r="F55" s="7"/>
      <c r="G55" s="6"/>
    </row>
    <row r="56" spans="1:9" ht="15" thickBot="1" x14ac:dyDescent="0.35">
      <c r="A56" s="10"/>
      <c r="B56" s="11"/>
      <c r="C56" s="11"/>
      <c r="D56" s="11"/>
      <c r="E56" s="11"/>
      <c r="F56" s="12"/>
      <c r="G56" s="6"/>
    </row>
    <row r="57" spans="1:9" ht="15" thickBot="1" x14ac:dyDescent="0.35"/>
    <row r="58" spans="1:9" ht="15" thickBot="1" x14ac:dyDescent="0.35">
      <c r="A58" s="78" t="s">
        <v>53</v>
      </c>
      <c r="B58" s="80"/>
      <c r="C58" s="3"/>
      <c r="D58" s="3"/>
      <c r="E58" s="3"/>
      <c r="F58" s="3"/>
      <c r="G58" s="3"/>
      <c r="H58" s="3"/>
      <c r="I58" s="4"/>
    </row>
    <row r="59" spans="1:9" x14ac:dyDescent="0.3">
      <c r="A59" s="5"/>
      <c r="B59" s="6"/>
      <c r="C59" s="6"/>
      <c r="D59" s="6" t="s">
        <v>56</v>
      </c>
      <c r="E59" s="46"/>
      <c r="F59" s="6" t="s">
        <v>61</v>
      </c>
      <c r="G59" s="6"/>
      <c r="H59" s="6"/>
      <c r="I59" s="7"/>
    </row>
    <row r="60" spans="1:9" ht="15" thickBot="1" x14ac:dyDescent="0.35">
      <c r="A60" s="5"/>
      <c r="B60" s="6"/>
      <c r="C60" s="6"/>
      <c r="D60" s="6"/>
      <c r="E60" s="6"/>
      <c r="F60" s="6"/>
      <c r="G60" s="47"/>
      <c r="H60" s="48"/>
      <c r="I60" s="7"/>
    </row>
    <row r="61" spans="1:9" ht="15" thickBot="1" x14ac:dyDescent="0.35">
      <c r="A61" s="5"/>
      <c r="B61" s="6"/>
      <c r="C61" s="6"/>
      <c r="D61" s="71" t="s">
        <v>57</v>
      </c>
      <c r="E61" s="72"/>
      <c r="F61" s="42" t="e">
        <f>2.602/SQRT(E59)</f>
        <v>#DIV/0!</v>
      </c>
      <c r="G61" s="48" t="s">
        <v>54</v>
      </c>
      <c r="H61" s="48"/>
      <c r="I61" s="7"/>
    </row>
    <row r="62" spans="1:9" x14ac:dyDescent="0.3">
      <c r="A62" s="5"/>
      <c r="B62" s="6"/>
      <c r="C62" s="6"/>
      <c r="D62" s="6"/>
      <c r="E62" s="6"/>
      <c r="F62" s="6"/>
      <c r="G62" s="6"/>
      <c r="H62" s="6"/>
      <c r="I62" s="7"/>
    </row>
    <row r="63" spans="1:9" x14ac:dyDescent="0.3">
      <c r="A63" s="5"/>
      <c r="B63" s="6"/>
      <c r="C63" s="49" t="s">
        <v>58</v>
      </c>
      <c r="D63" s="6" t="s">
        <v>54</v>
      </c>
      <c r="E63" s="6" t="s">
        <v>55</v>
      </c>
      <c r="F63" s="6"/>
      <c r="G63" s="6"/>
      <c r="H63" s="6"/>
      <c r="I63" s="7"/>
    </row>
    <row r="64" spans="1:9" x14ac:dyDescent="0.3">
      <c r="A64" s="5"/>
      <c r="B64" s="6"/>
      <c r="C64" s="6"/>
      <c r="D64" s="8"/>
      <c r="E64" s="9">
        <f>D64*1000*25.4</f>
        <v>0</v>
      </c>
      <c r="F64" s="6"/>
      <c r="G64" s="6"/>
      <c r="H64" s="6"/>
      <c r="I64" s="7"/>
    </row>
    <row r="65" spans="1:9" ht="15" thickBot="1" x14ac:dyDescent="0.35">
      <c r="A65" s="5"/>
      <c r="B65" s="6"/>
      <c r="C65" s="6"/>
      <c r="D65" s="6"/>
      <c r="E65" s="6"/>
      <c r="F65" s="6"/>
      <c r="G65" s="6"/>
      <c r="H65" s="6"/>
      <c r="I65" s="7"/>
    </row>
    <row r="66" spans="1:9" ht="14.4" customHeight="1" x14ac:dyDescent="0.3">
      <c r="A66" s="73" t="s">
        <v>59</v>
      </c>
      <c r="B66" s="74"/>
      <c r="C66" s="6"/>
      <c r="D66" s="6"/>
      <c r="E66" s="6"/>
      <c r="F66" s="6"/>
      <c r="G66" s="6"/>
      <c r="H66" s="6"/>
      <c r="I66" s="7"/>
    </row>
    <row r="67" spans="1:9" ht="15" thickBot="1" x14ac:dyDescent="0.35">
      <c r="A67" s="75"/>
      <c r="B67" s="76"/>
      <c r="C67" s="6"/>
      <c r="D67" s="6"/>
      <c r="E67" s="6"/>
      <c r="F67" s="6"/>
      <c r="G67" s="6"/>
      <c r="H67" s="6"/>
      <c r="I67" s="7"/>
    </row>
    <row r="68" spans="1:9" x14ac:dyDescent="0.3">
      <c r="A68" s="5"/>
      <c r="B68" s="6"/>
      <c r="C68" s="6"/>
      <c r="D68" s="6"/>
      <c r="E68" s="6"/>
      <c r="F68" s="6"/>
      <c r="G68" s="6"/>
      <c r="H68" s="6"/>
      <c r="I68" s="7"/>
    </row>
    <row r="69" spans="1:9" x14ac:dyDescent="0.3">
      <c r="A69" s="5"/>
      <c r="B69" s="6"/>
      <c r="C69" s="6"/>
      <c r="D69" s="6"/>
      <c r="E69" s="6"/>
      <c r="F69" s="6"/>
      <c r="G69" s="6"/>
      <c r="H69" s="6"/>
      <c r="I69" s="7"/>
    </row>
    <row r="70" spans="1:9" ht="15" thickBot="1" x14ac:dyDescent="0.35">
      <c r="A70" s="5"/>
      <c r="B70" s="6" t="s">
        <v>55</v>
      </c>
      <c r="C70" s="6" t="s">
        <v>54</v>
      </c>
      <c r="D70" s="6"/>
      <c r="E70" s="6"/>
      <c r="F70" s="6"/>
      <c r="G70" s="6"/>
      <c r="H70" s="6"/>
      <c r="I70" s="7"/>
    </row>
    <row r="71" spans="1:9" ht="15" thickBot="1" x14ac:dyDescent="0.35">
      <c r="A71" s="5" t="s">
        <v>3</v>
      </c>
      <c r="B71" s="8"/>
      <c r="C71" s="9">
        <f>B71/(25.4*1000)</f>
        <v>0</v>
      </c>
      <c r="D71" s="6"/>
      <c r="E71" s="28" t="s">
        <v>60</v>
      </c>
      <c r="F71" s="42" t="e">
        <f>POWER(2.602, 2)*4/POWER(C71, 2)</f>
        <v>#DIV/0!</v>
      </c>
      <c r="G71" s="6" t="s">
        <v>61</v>
      </c>
      <c r="H71" s="6"/>
      <c r="I71" s="7"/>
    </row>
    <row r="72" spans="1:9" ht="15" thickBot="1" x14ac:dyDescent="0.35">
      <c r="A72" s="5"/>
      <c r="B72" s="6"/>
      <c r="C72" s="6"/>
      <c r="D72" s="6"/>
      <c r="E72" s="6"/>
      <c r="F72" s="6"/>
      <c r="G72" s="6"/>
      <c r="H72" s="6"/>
      <c r="I72" s="7"/>
    </row>
    <row r="73" spans="1:9" x14ac:dyDescent="0.3">
      <c r="A73" s="73" t="s">
        <v>62</v>
      </c>
      <c r="B73" s="74"/>
      <c r="C73" s="6"/>
      <c r="D73" s="6"/>
      <c r="E73" s="6"/>
      <c r="F73" s="6"/>
      <c r="G73" s="6"/>
      <c r="H73" s="6"/>
      <c r="I73" s="7"/>
    </row>
    <row r="74" spans="1:9" ht="15" thickBot="1" x14ac:dyDescent="0.35">
      <c r="A74" s="75"/>
      <c r="B74" s="76"/>
      <c r="C74" s="6"/>
      <c r="D74" s="6"/>
      <c r="E74" s="6"/>
      <c r="F74" s="6"/>
      <c r="G74" s="6"/>
      <c r="H74" s="6"/>
      <c r="I74" s="7"/>
    </row>
    <row r="75" spans="1:9" x14ac:dyDescent="0.3">
      <c r="A75" s="5"/>
      <c r="B75" s="6"/>
      <c r="C75" s="6"/>
      <c r="D75" s="6"/>
      <c r="E75" s="6"/>
      <c r="F75" s="6"/>
      <c r="G75" s="6"/>
      <c r="H75" s="6"/>
      <c r="I75" s="7"/>
    </row>
    <row r="76" spans="1:9" x14ac:dyDescent="0.3">
      <c r="A76" s="5"/>
      <c r="B76" s="6"/>
      <c r="C76" s="6"/>
      <c r="D76" s="6"/>
      <c r="E76" s="6"/>
      <c r="F76" s="6"/>
      <c r="G76" s="6"/>
      <c r="H76" s="6"/>
      <c r="I76" s="7"/>
    </row>
    <row r="77" spans="1:9" x14ac:dyDescent="0.3">
      <c r="A77" s="5"/>
      <c r="B77" s="6"/>
      <c r="C77" s="6"/>
      <c r="D77" s="6"/>
      <c r="E77" s="6"/>
      <c r="F77" s="6"/>
      <c r="G77" s="6"/>
      <c r="H77" s="6"/>
      <c r="I77" s="7"/>
    </row>
    <row r="78" spans="1:9" x14ac:dyDescent="0.3">
      <c r="A78" s="5"/>
      <c r="B78" s="6"/>
      <c r="C78" s="6"/>
      <c r="D78" s="6" t="s">
        <v>55</v>
      </c>
      <c r="E78" s="6" t="s">
        <v>54</v>
      </c>
      <c r="F78" s="6"/>
      <c r="G78" s="6"/>
      <c r="H78" s="6"/>
      <c r="I78" s="7"/>
    </row>
    <row r="79" spans="1:9" x14ac:dyDescent="0.3">
      <c r="A79" s="5"/>
      <c r="B79" s="6"/>
      <c r="C79" s="6" t="s">
        <v>5</v>
      </c>
      <c r="D79" s="8"/>
      <c r="E79" s="9">
        <f>D79/(25.4*1000)</f>
        <v>0</v>
      </c>
      <c r="F79" s="6"/>
      <c r="G79" s="6"/>
      <c r="H79" s="6"/>
      <c r="I79" s="7"/>
    </row>
    <row r="80" spans="1:9" ht="15" thickBot="1" x14ac:dyDescent="0.35">
      <c r="A80" s="5"/>
      <c r="B80" s="6"/>
      <c r="C80" s="6"/>
      <c r="D80" s="6"/>
      <c r="E80" s="6"/>
      <c r="F80" s="6"/>
      <c r="G80" s="6"/>
      <c r="H80" s="6"/>
      <c r="I80" s="7"/>
    </row>
    <row r="81" spans="1:9" ht="15" thickBot="1" x14ac:dyDescent="0.35">
      <c r="A81" s="5"/>
      <c r="B81" s="6"/>
      <c r="C81" s="50" t="s">
        <v>60</v>
      </c>
      <c r="D81" s="51" t="e">
        <f>POWER(2.602, 2)*4/POWER(E79, 2)</f>
        <v>#DIV/0!</v>
      </c>
      <c r="E81" s="6" t="s">
        <v>61</v>
      </c>
      <c r="F81" s="6"/>
      <c r="G81" s="6"/>
      <c r="H81" s="6"/>
      <c r="I81" s="7"/>
    </row>
    <row r="82" spans="1:9" ht="15" thickBot="1" x14ac:dyDescent="0.35">
      <c r="A82" s="10"/>
      <c r="B82" s="11"/>
      <c r="C82" s="11"/>
      <c r="D82" s="11"/>
      <c r="E82" s="11"/>
      <c r="F82" s="11"/>
      <c r="G82" s="11"/>
      <c r="H82" s="11"/>
      <c r="I82" s="12"/>
    </row>
  </sheetData>
  <mergeCells count="13">
    <mergeCell ref="K39:L42"/>
    <mergeCell ref="A1:C1"/>
    <mergeCell ref="B13:H14"/>
    <mergeCell ref="I13:K14"/>
    <mergeCell ref="A9:B9"/>
    <mergeCell ref="B12:F12"/>
    <mergeCell ref="D61:E61"/>
    <mergeCell ref="A66:B67"/>
    <mergeCell ref="A73:B74"/>
    <mergeCell ref="B15:H15"/>
    <mergeCell ref="A47:D47"/>
    <mergeCell ref="G35:J36"/>
    <mergeCell ref="A58:B5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D3ED-371A-41C8-B955-8F2AD1AAB7E7}">
  <dimension ref="A1:L98"/>
  <sheetViews>
    <sheetView topLeftCell="A25" zoomScale="85" zoomScaleNormal="85" workbookViewId="0">
      <selection activeCell="D16" sqref="D16"/>
    </sheetView>
  </sheetViews>
  <sheetFormatPr defaultRowHeight="14.4" x14ac:dyDescent="0.3"/>
  <cols>
    <col min="3" max="3" width="13.21875" bestFit="1" customWidth="1"/>
    <col min="5" max="5" width="13.21875" bestFit="1" customWidth="1"/>
    <col min="8" max="8" width="12.44140625" bestFit="1" customWidth="1"/>
  </cols>
  <sheetData>
    <row r="1" spans="1:12" ht="15" thickBot="1" x14ac:dyDescent="0.35">
      <c r="A1" s="78" t="s">
        <v>63</v>
      </c>
      <c r="B1" s="79"/>
      <c r="C1" s="80"/>
      <c r="D1" s="3"/>
      <c r="E1" s="3"/>
      <c r="F1" s="3"/>
      <c r="G1" s="3"/>
      <c r="H1" s="3"/>
      <c r="I1" s="3"/>
      <c r="J1" s="3"/>
      <c r="K1" s="3"/>
      <c r="L1" s="4"/>
    </row>
    <row r="2" spans="1:12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4.4" customHeight="1" x14ac:dyDescent="0.3">
      <c r="A3" s="84" t="s">
        <v>64</v>
      </c>
      <c r="B3" s="81"/>
      <c r="C3" s="81"/>
      <c r="D3" s="6"/>
      <c r="E3" s="6"/>
      <c r="F3" s="6" t="s">
        <v>18</v>
      </c>
      <c r="G3" s="6"/>
      <c r="H3" s="6"/>
      <c r="I3" s="6"/>
      <c r="J3" s="6"/>
      <c r="K3" s="6"/>
      <c r="L3" s="7"/>
    </row>
    <row r="4" spans="1:12" x14ac:dyDescent="0.3">
      <c r="A4" s="53"/>
      <c r="B4" s="38" t="s">
        <v>66</v>
      </c>
      <c r="C4" s="38"/>
      <c r="D4" s="8"/>
      <c r="E4" s="6" t="s">
        <v>38</v>
      </c>
      <c r="F4" s="6" t="s">
        <v>73</v>
      </c>
      <c r="G4" s="6"/>
      <c r="H4" s="6"/>
      <c r="I4" s="6"/>
      <c r="J4" s="81" t="s">
        <v>75</v>
      </c>
      <c r="K4" s="85"/>
      <c r="L4" s="88"/>
    </row>
    <row r="5" spans="1:12" x14ac:dyDescent="0.3">
      <c r="A5" s="53"/>
      <c r="B5" s="38" t="s">
        <v>70</v>
      </c>
      <c r="C5" s="38"/>
      <c r="D5" s="8"/>
      <c r="E5" s="39" t="s">
        <v>72</v>
      </c>
      <c r="F5" s="6"/>
      <c r="G5" s="6" t="s">
        <v>74</v>
      </c>
      <c r="H5" s="9" t="e">
        <f>D5*D6/(2*(D5+D6)*0.66)</f>
        <v>#DIV/0!</v>
      </c>
      <c r="I5" s="39" t="s">
        <v>72</v>
      </c>
      <c r="J5" s="85"/>
      <c r="K5" s="85"/>
      <c r="L5" s="88"/>
    </row>
    <row r="6" spans="1:12" x14ac:dyDescent="0.3">
      <c r="A6" s="53"/>
      <c r="B6" s="38" t="s">
        <v>71</v>
      </c>
      <c r="C6" s="38"/>
      <c r="D6" s="8"/>
      <c r="E6" s="6" t="s">
        <v>72</v>
      </c>
      <c r="F6" s="6"/>
      <c r="G6" s="6" t="s">
        <v>76</v>
      </c>
      <c r="H6" s="8"/>
      <c r="I6" s="6" t="s">
        <v>93</v>
      </c>
      <c r="J6" s="6"/>
      <c r="K6" s="6"/>
      <c r="L6" s="7"/>
    </row>
    <row r="7" spans="1:12" x14ac:dyDescent="0.3">
      <c r="A7" s="5"/>
      <c r="B7" s="6"/>
      <c r="C7" s="6"/>
      <c r="D7" s="6"/>
      <c r="E7" s="6"/>
      <c r="F7" s="6" t="s">
        <v>77</v>
      </c>
      <c r="G7" s="6"/>
      <c r="H7" s="6"/>
      <c r="I7" s="6"/>
      <c r="J7" s="6"/>
      <c r="K7" s="6"/>
      <c r="L7" s="7"/>
    </row>
    <row r="8" spans="1:12" x14ac:dyDescent="0.3">
      <c r="A8" s="86" t="s">
        <v>65</v>
      </c>
      <c r="B8" s="85"/>
      <c r="C8" s="85"/>
      <c r="D8" s="6"/>
      <c r="E8" s="6"/>
      <c r="F8" s="6"/>
      <c r="G8" s="6"/>
      <c r="H8" s="6"/>
      <c r="I8" s="6"/>
      <c r="J8" s="6"/>
      <c r="K8" s="6"/>
      <c r="L8" s="7"/>
    </row>
    <row r="9" spans="1:12" x14ac:dyDescent="0.3">
      <c r="A9" s="5"/>
      <c r="B9" s="38" t="s">
        <v>66</v>
      </c>
      <c r="C9" s="38"/>
      <c r="D9" s="8"/>
      <c r="E9" s="6" t="s">
        <v>38</v>
      </c>
      <c r="F9" s="6"/>
      <c r="G9" s="6"/>
      <c r="H9" s="6" t="s">
        <v>78</v>
      </c>
      <c r="I9" s="9">
        <f>D9-0.2</f>
        <v>-0.2</v>
      </c>
      <c r="J9" s="6" t="s">
        <v>38</v>
      </c>
      <c r="K9" s="6"/>
      <c r="L9" s="7"/>
    </row>
    <row r="10" spans="1:12" x14ac:dyDescent="0.3">
      <c r="A10" s="5"/>
      <c r="B10" s="6" t="s">
        <v>67</v>
      </c>
      <c r="C10" s="6"/>
      <c r="D10" s="8"/>
      <c r="E10" s="6" t="s">
        <v>38</v>
      </c>
      <c r="F10" s="6"/>
      <c r="G10" s="6"/>
      <c r="H10" s="6"/>
      <c r="I10" s="6"/>
      <c r="J10" s="6"/>
      <c r="K10" s="6"/>
      <c r="L10" s="7"/>
    </row>
    <row r="11" spans="1:12" x14ac:dyDescent="0.3">
      <c r="A11" s="5"/>
      <c r="B11" s="6" t="s">
        <v>68</v>
      </c>
      <c r="C11" s="6"/>
      <c r="D11" s="8"/>
      <c r="E11" s="6" t="s">
        <v>38</v>
      </c>
      <c r="F11" s="6"/>
      <c r="G11" s="6"/>
      <c r="H11" s="6"/>
      <c r="I11" s="6"/>
      <c r="J11" s="6"/>
      <c r="K11" s="6"/>
      <c r="L11" s="7"/>
    </row>
    <row r="12" spans="1:12" x14ac:dyDescent="0.3">
      <c r="A12" s="5"/>
      <c r="B12" s="6" t="s">
        <v>69</v>
      </c>
      <c r="C12" s="6"/>
      <c r="D12" s="8"/>
      <c r="E12" s="6" t="s">
        <v>38</v>
      </c>
      <c r="F12" s="6" t="s">
        <v>79</v>
      </c>
      <c r="G12" s="6"/>
      <c r="H12" s="6"/>
      <c r="I12" s="6"/>
      <c r="J12" s="6"/>
      <c r="K12" s="6"/>
      <c r="L12" s="7"/>
    </row>
    <row r="13" spans="1:12" x14ac:dyDescent="0.3">
      <c r="A13" s="5"/>
      <c r="B13" s="6"/>
      <c r="C13" s="6"/>
      <c r="D13" s="6"/>
      <c r="E13" s="6"/>
      <c r="F13" s="6"/>
      <c r="G13" s="6" t="s">
        <v>80</v>
      </c>
      <c r="H13" s="9">
        <f>POWER(I9, 2)*H6/1000</f>
        <v>0</v>
      </c>
      <c r="I13" s="6" t="s">
        <v>81</v>
      </c>
      <c r="J13" s="6"/>
      <c r="K13" s="6"/>
      <c r="L13" s="7"/>
    </row>
    <row r="14" spans="1:12" x14ac:dyDescent="0.3">
      <c r="A14" s="86" t="s">
        <v>84</v>
      </c>
      <c r="B14" s="85"/>
      <c r="C14" s="85"/>
      <c r="D14" s="8"/>
      <c r="E14" s="6" t="s">
        <v>38</v>
      </c>
      <c r="F14" s="6" t="s">
        <v>82</v>
      </c>
      <c r="G14" s="6"/>
      <c r="H14" s="6"/>
      <c r="I14" s="6"/>
      <c r="J14" s="6"/>
      <c r="K14" s="6"/>
      <c r="L14" s="7"/>
    </row>
    <row r="15" spans="1:12" x14ac:dyDescent="0.3">
      <c r="A15" s="5"/>
      <c r="B15" s="6"/>
      <c r="C15" s="6"/>
      <c r="D15" s="6"/>
      <c r="E15" s="6"/>
      <c r="F15" s="6"/>
      <c r="G15" s="6" t="s">
        <v>83</v>
      </c>
      <c r="H15" s="9">
        <f>2*(((POWER(D11/2,2)-POWER(D10/2,2))*3.14*D14)+2*(0.215*POWER((D12-D10/2),2)*2*3.14*(0.2234*(D12-D10/2)+D10/2)))</f>
        <v>0</v>
      </c>
      <c r="I15" s="6" t="s">
        <v>81</v>
      </c>
      <c r="J15" s="6"/>
      <c r="K15" s="6"/>
      <c r="L15" s="7"/>
    </row>
    <row r="16" spans="1:12" x14ac:dyDescent="0.3">
      <c r="A16" s="5"/>
      <c r="B16" s="6"/>
      <c r="C16" s="6"/>
      <c r="D16" s="6"/>
      <c r="E16" s="6"/>
      <c r="F16" s="6" t="s">
        <v>85</v>
      </c>
      <c r="G16" s="6"/>
      <c r="H16" s="6"/>
      <c r="I16" s="6"/>
      <c r="J16" s="6"/>
      <c r="K16" s="6"/>
      <c r="L16" s="7"/>
    </row>
    <row r="17" spans="1:12" x14ac:dyDescent="0.3">
      <c r="A17" s="5"/>
      <c r="B17" s="6"/>
      <c r="C17" s="6"/>
      <c r="D17" s="6"/>
      <c r="E17" s="6"/>
      <c r="F17" s="6"/>
      <c r="G17" s="6" t="s">
        <v>86</v>
      </c>
      <c r="H17" s="9">
        <f>H15-H13</f>
        <v>0</v>
      </c>
      <c r="I17" s="6" t="s">
        <v>81</v>
      </c>
      <c r="J17" s="6"/>
      <c r="K17" s="6"/>
      <c r="L17" s="7"/>
    </row>
    <row r="18" spans="1:12" x14ac:dyDescent="0.3">
      <c r="A18" s="5"/>
      <c r="B18" s="6"/>
      <c r="C18" s="6"/>
      <c r="D18" s="6"/>
      <c r="E18" s="6"/>
      <c r="F18" s="6" t="s">
        <v>87</v>
      </c>
      <c r="G18" s="6"/>
      <c r="H18" s="6"/>
      <c r="I18" s="6"/>
      <c r="J18" s="6"/>
      <c r="K18" s="6"/>
      <c r="L18" s="7"/>
    </row>
    <row r="19" spans="1:12" x14ac:dyDescent="0.3">
      <c r="A19" s="5"/>
      <c r="B19" s="6"/>
      <c r="C19" s="6"/>
      <c r="D19" s="6"/>
      <c r="E19" s="6"/>
      <c r="F19" s="6"/>
      <c r="G19" s="6" t="s">
        <v>88</v>
      </c>
      <c r="H19" s="9">
        <f>POWER(D11/2, 2)*3.14*D14</f>
        <v>0</v>
      </c>
      <c r="I19" s="6" t="s">
        <v>81</v>
      </c>
      <c r="J19" s="6"/>
      <c r="K19" s="6"/>
      <c r="L19" s="7"/>
    </row>
    <row r="20" spans="1:12" ht="15" thickBot="1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5" thickBot="1" x14ac:dyDescent="0.35">
      <c r="A21" s="5"/>
      <c r="B21" s="6"/>
      <c r="C21" s="6"/>
      <c r="D21" s="6"/>
      <c r="E21" s="6"/>
      <c r="F21" s="6"/>
      <c r="G21" s="28" t="s">
        <v>89</v>
      </c>
      <c r="H21" s="52" t="e">
        <f>H17/H19</f>
        <v>#DIV/0!</v>
      </c>
      <c r="I21" s="36" t="s">
        <v>90</v>
      </c>
      <c r="J21" s="42" t="e">
        <f>MROUND(H21*100, 5)</f>
        <v>#DIV/0!</v>
      </c>
      <c r="K21" s="6" t="s">
        <v>91</v>
      </c>
      <c r="L21" s="7"/>
    </row>
    <row r="22" spans="1:12" ht="15" thickBot="1" x14ac:dyDescent="0.3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5" thickBot="1" x14ac:dyDescent="0.35"/>
    <row r="24" spans="1:12" ht="15" thickBot="1" x14ac:dyDescent="0.35">
      <c r="A24" s="78" t="s">
        <v>113</v>
      </c>
      <c r="B24" s="80"/>
      <c r="C24" s="3"/>
      <c r="D24" s="3"/>
      <c r="E24" s="3"/>
      <c r="F24" s="3"/>
      <c r="G24" s="3"/>
      <c r="H24" s="3"/>
      <c r="I24" s="3"/>
      <c r="J24" s="3"/>
      <c r="K24" s="4"/>
    </row>
    <row r="25" spans="1:12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2" x14ac:dyDescent="0.3">
      <c r="A26" s="59" t="s">
        <v>92</v>
      </c>
      <c r="B26" s="20"/>
      <c r="C26" s="20"/>
      <c r="D26" s="20"/>
      <c r="E26" s="20" t="s">
        <v>98</v>
      </c>
      <c r="F26" s="20"/>
      <c r="G26" s="20"/>
      <c r="H26" s="55"/>
      <c r="I26" s="6"/>
      <c r="J26" s="6"/>
      <c r="K26" s="7"/>
    </row>
    <row r="27" spans="1:12" x14ac:dyDescent="0.3">
      <c r="A27" s="5"/>
      <c r="B27" s="6" t="s">
        <v>1</v>
      </c>
      <c r="C27" s="8"/>
      <c r="D27" s="6"/>
      <c r="E27" s="6"/>
      <c r="F27" s="6" t="s">
        <v>1</v>
      </c>
      <c r="G27" s="9">
        <f>0.9*C27</f>
        <v>0</v>
      </c>
      <c r="H27" s="26"/>
      <c r="I27" s="6"/>
      <c r="J27" s="6"/>
      <c r="K27" s="7"/>
    </row>
    <row r="28" spans="1:12" x14ac:dyDescent="0.3">
      <c r="A28" s="5"/>
      <c r="B28" s="6"/>
      <c r="C28" s="6"/>
      <c r="D28" s="6"/>
      <c r="E28" s="6"/>
      <c r="F28" s="6"/>
      <c r="G28" s="6"/>
      <c r="H28" s="26"/>
      <c r="I28" s="6"/>
      <c r="J28" s="6"/>
      <c r="K28" s="7"/>
    </row>
    <row r="29" spans="1:12" x14ac:dyDescent="0.3">
      <c r="A29" s="5"/>
      <c r="B29" s="6"/>
      <c r="C29" s="6"/>
      <c r="D29" s="6"/>
      <c r="E29" s="6"/>
      <c r="F29" s="6"/>
      <c r="G29" s="6"/>
      <c r="H29" s="26"/>
      <c r="I29" s="6"/>
      <c r="J29" s="6"/>
      <c r="K29" s="7"/>
    </row>
    <row r="30" spans="1:12" x14ac:dyDescent="0.3">
      <c r="A30" s="5"/>
      <c r="B30" s="6"/>
      <c r="C30" s="6"/>
      <c r="D30" s="6" t="s">
        <v>2</v>
      </c>
      <c r="E30" s="6"/>
      <c r="F30" s="6"/>
      <c r="G30" s="6"/>
      <c r="H30" s="26" t="s">
        <v>2</v>
      </c>
      <c r="I30" s="6"/>
      <c r="J30" s="6"/>
      <c r="K30" s="7"/>
    </row>
    <row r="31" spans="1:12" x14ac:dyDescent="0.3">
      <c r="A31" s="5"/>
      <c r="B31" s="6"/>
      <c r="C31" s="6"/>
      <c r="D31" s="8"/>
      <c r="E31" s="6"/>
      <c r="F31" s="6"/>
      <c r="G31" s="6"/>
      <c r="H31" s="56">
        <f>0.9*D31</f>
        <v>0</v>
      </c>
      <c r="I31" s="6"/>
      <c r="J31" s="6"/>
      <c r="K31" s="7"/>
    </row>
    <row r="32" spans="1:12" x14ac:dyDescent="0.3">
      <c r="A32" s="5"/>
      <c r="B32" s="6"/>
      <c r="C32" s="6"/>
      <c r="D32" s="6"/>
      <c r="E32" s="6"/>
      <c r="F32" s="6"/>
      <c r="G32" s="6"/>
      <c r="H32" s="26"/>
      <c r="I32" s="6"/>
      <c r="J32" s="6"/>
      <c r="K32" s="7"/>
    </row>
    <row r="33" spans="1:11" x14ac:dyDescent="0.3">
      <c r="A33" s="5"/>
      <c r="B33" s="6"/>
      <c r="C33" s="6"/>
      <c r="D33" s="6"/>
      <c r="E33" s="6"/>
      <c r="F33" s="6"/>
      <c r="G33" s="6"/>
      <c r="H33" s="26"/>
      <c r="I33" s="6"/>
      <c r="J33" s="6"/>
      <c r="K33" s="7"/>
    </row>
    <row r="34" spans="1:11" x14ac:dyDescent="0.3">
      <c r="A34" s="5"/>
      <c r="B34" s="6"/>
      <c r="C34" s="6"/>
      <c r="D34" s="6"/>
      <c r="E34" s="6"/>
      <c r="F34" s="6"/>
      <c r="G34" s="6"/>
      <c r="H34" s="26"/>
      <c r="I34" s="6"/>
      <c r="J34" s="49" t="s">
        <v>99</v>
      </c>
      <c r="K34" s="7"/>
    </row>
    <row r="35" spans="1:11" x14ac:dyDescent="0.3">
      <c r="A35" s="43"/>
      <c r="B35" s="44"/>
      <c r="C35" s="57">
        <f>2/3*C27</f>
        <v>0</v>
      </c>
      <c r="D35" s="44"/>
      <c r="E35" s="44"/>
      <c r="F35" s="44"/>
      <c r="G35" s="57">
        <f>2/3*G27</f>
        <v>0</v>
      </c>
      <c r="H35" s="58"/>
      <c r="I35" s="6"/>
      <c r="J35" s="6" t="s">
        <v>100</v>
      </c>
      <c r="K35" s="7" t="s">
        <v>101</v>
      </c>
    </row>
    <row r="36" spans="1:11" x14ac:dyDescent="0.3">
      <c r="A36" s="5"/>
      <c r="B36" s="6"/>
      <c r="C36" s="6"/>
      <c r="D36" s="6"/>
      <c r="E36" s="6"/>
      <c r="F36" s="6"/>
      <c r="G36" s="6"/>
      <c r="H36" s="6"/>
      <c r="I36" s="6"/>
      <c r="J36" s="6" t="s">
        <v>102</v>
      </c>
      <c r="K36" s="7" t="s">
        <v>103</v>
      </c>
    </row>
    <row r="37" spans="1:11" x14ac:dyDescent="0.3">
      <c r="A37" s="59" t="s">
        <v>94</v>
      </c>
      <c r="B37" s="20"/>
      <c r="C37" s="20"/>
      <c r="D37" s="20"/>
      <c r="E37" s="20" t="s">
        <v>97</v>
      </c>
      <c r="F37" s="20"/>
      <c r="G37" s="20"/>
      <c r="H37" s="55"/>
      <c r="I37" s="6"/>
      <c r="J37" s="6" t="s">
        <v>104</v>
      </c>
      <c r="K37" s="7" t="s">
        <v>103</v>
      </c>
    </row>
    <row r="38" spans="1:11" x14ac:dyDescent="0.3">
      <c r="A38" s="5"/>
      <c r="B38" s="6" t="s">
        <v>1</v>
      </c>
      <c r="C38" s="8"/>
      <c r="D38" s="6"/>
      <c r="E38" s="6"/>
      <c r="F38" s="6" t="s">
        <v>1</v>
      </c>
      <c r="G38" s="9">
        <f>0.9*C38</f>
        <v>0</v>
      </c>
      <c r="H38" s="26"/>
      <c r="I38" s="6"/>
      <c r="J38" s="6" t="s">
        <v>105</v>
      </c>
      <c r="K38" s="7" t="s">
        <v>103</v>
      </c>
    </row>
    <row r="39" spans="1:11" x14ac:dyDescent="0.3">
      <c r="A39" s="5"/>
      <c r="B39" s="6"/>
      <c r="C39" s="6"/>
      <c r="D39" s="6"/>
      <c r="E39" s="6"/>
      <c r="F39" s="6"/>
      <c r="G39" s="6"/>
      <c r="H39" s="26"/>
      <c r="I39" s="6"/>
      <c r="J39" s="48" t="s">
        <v>107</v>
      </c>
      <c r="K39" s="7" t="s">
        <v>103</v>
      </c>
    </row>
    <row r="40" spans="1:11" x14ac:dyDescent="0.3">
      <c r="A40" s="5"/>
      <c r="B40" s="6"/>
      <c r="C40" s="6"/>
      <c r="D40" s="6"/>
      <c r="E40" s="6"/>
      <c r="F40" s="6"/>
      <c r="G40" s="6"/>
      <c r="H40" s="26"/>
      <c r="I40" s="48" t="s">
        <v>108</v>
      </c>
      <c r="K40" s="7" t="s">
        <v>103</v>
      </c>
    </row>
    <row r="41" spans="1:11" x14ac:dyDescent="0.3">
      <c r="A41" s="5"/>
      <c r="B41" s="6"/>
      <c r="C41" s="6"/>
      <c r="D41" s="6" t="s">
        <v>2</v>
      </c>
      <c r="E41" s="6"/>
      <c r="F41" s="6"/>
      <c r="G41" s="6"/>
      <c r="H41" s="26" t="s">
        <v>2</v>
      </c>
      <c r="I41" s="6"/>
      <c r="J41" s="6"/>
      <c r="K41" s="7"/>
    </row>
    <row r="42" spans="1:11" x14ac:dyDescent="0.3">
      <c r="A42" s="5"/>
      <c r="B42" s="6"/>
      <c r="C42" s="6"/>
      <c r="D42" s="8"/>
      <c r="E42" s="6"/>
      <c r="F42" s="6"/>
      <c r="G42" s="6"/>
      <c r="H42" s="56">
        <f>0.9*D42</f>
        <v>0</v>
      </c>
      <c r="I42" s="6"/>
      <c r="J42" s="6"/>
      <c r="K42" s="7"/>
    </row>
    <row r="43" spans="1:11" x14ac:dyDescent="0.3">
      <c r="A43" s="5"/>
      <c r="B43" s="6"/>
      <c r="C43" s="6"/>
      <c r="D43" s="6"/>
      <c r="E43" s="6"/>
      <c r="F43" s="6"/>
      <c r="G43" s="6"/>
      <c r="H43" s="26"/>
      <c r="I43" s="6"/>
      <c r="J43" s="6"/>
      <c r="K43" s="7"/>
    </row>
    <row r="44" spans="1:11" x14ac:dyDescent="0.3">
      <c r="A44" s="5"/>
      <c r="B44" s="6"/>
      <c r="C44" s="6"/>
      <c r="D44" s="6"/>
      <c r="E44" s="6"/>
      <c r="F44" s="6"/>
      <c r="G44" s="6"/>
      <c r="H44" s="26"/>
      <c r="I44" s="6"/>
      <c r="J44" s="6"/>
      <c r="K44" s="7"/>
    </row>
    <row r="45" spans="1:11" x14ac:dyDescent="0.3">
      <c r="A45" s="5"/>
      <c r="B45" s="6"/>
      <c r="C45" s="6"/>
      <c r="D45" s="6"/>
      <c r="E45" s="6"/>
      <c r="F45" s="6"/>
      <c r="G45" s="6"/>
      <c r="H45" s="26"/>
      <c r="I45" s="6"/>
      <c r="J45" s="6"/>
      <c r="K45" s="7"/>
    </row>
    <row r="46" spans="1:11" x14ac:dyDescent="0.3">
      <c r="A46" s="5"/>
      <c r="B46" s="9">
        <f>0.1*C38</f>
        <v>0</v>
      </c>
      <c r="C46" s="6" t="s">
        <v>95</v>
      </c>
      <c r="D46" s="6"/>
      <c r="E46" s="6"/>
      <c r="F46" s="9">
        <f>0.1*G38</f>
        <v>0</v>
      </c>
      <c r="G46" s="6" t="s">
        <v>95</v>
      </c>
      <c r="H46" s="26"/>
      <c r="I46" s="6"/>
      <c r="J46" s="6"/>
      <c r="K46" s="7"/>
    </row>
    <row r="47" spans="1:11" x14ac:dyDescent="0.3">
      <c r="A47" s="43"/>
      <c r="B47" s="57">
        <f>0.2*C38</f>
        <v>0</v>
      </c>
      <c r="C47" s="44" t="s">
        <v>96</v>
      </c>
      <c r="D47" s="44"/>
      <c r="E47" s="44"/>
      <c r="F47" s="57">
        <f>0.2*G38</f>
        <v>0</v>
      </c>
      <c r="G47" s="44" t="s">
        <v>96</v>
      </c>
      <c r="H47" s="58"/>
      <c r="I47" s="6"/>
      <c r="J47" s="6"/>
      <c r="K47" s="7"/>
    </row>
    <row r="48" spans="1:11" ht="15" thickBot="1" x14ac:dyDescent="0.3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  <row r="49" spans="1:12" ht="15" thickBot="1" x14ac:dyDescent="0.35"/>
    <row r="50" spans="1:12" ht="15" thickBot="1" x14ac:dyDescent="0.35">
      <c r="A50" s="78" t="s">
        <v>106</v>
      </c>
      <c r="B50" s="80"/>
      <c r="C50" s="3"/>
      <c r="D50" s="3"/>
      <c r="E50" s="3"/>
      <c r="F50" s="3"/>
      <c r="G50" s="3"/>
      <c r="H50" s="3"/>
      <c r="I50" s="5"/>
      <c r="J50" s="6"/>
      <c r="K50" s="6"/>
      <c r="L50" s="6"/>
    </row>
    <row r="51" spans="1:12" x14ac:dyDescent="0.3">
      <c r="A51" s="54"/>
      <c r="B51" s="27"/>
      <c r="C51" s="6"/>
      <c r="D51" s="6"/>
      <c r="E51" s="6"/>
      <c r="F51" s="6"/>
      <c r="G51" s="6"/>
      <c r="H51" s="6"/>
      <c r="I51" s="5"/>
      <c r="J51" s="6"/>
      <c r="K51" s="6"/>
      <c r="L51" s="6"/>
    </row>
    <row r="52" spans="1:12" x14ac:dyDescent="0.3">
      <c r="A52" s="60" t="s">
        <v>109</v>
      </c>
      <c r="B52" s="6"/>
      <c r="C52" s="6"/>
      <c r="D52" s="6"/>
      <c r="E52" s="6"/>
      <c r="F52" s="6"/>
      <c r="G52" s="6"/>
      <c r="H52" s="6"/>
      <c r="I52" s="5"/>
      <c r="J52" s="6"/>
      <c r="K52" s="6"/>
      <c r="L52" s="6"/>
    </row>
    <row r="53" spans="1:12" x14ac:dyDescent="0.3">
      <c r="A53" s="5"/>
      <c r="B53" s="48" t="s">
        <v>110</v>
      </c>
      <c r="C53" s="48"/>
      <c r="D53" s="48"/>
      <c r="E53" s="48"/>
      <c r="F53" s="48"/>
      <c r="G53" s="47"/>
      <c r="H53" s="6"/>
      <c r="I53" s="5"/>
      <c r="J53" s="6"/>
      <c r="K53" s="6"/>
      <c r="L53" s="6"/>
    </row>
    <row r="54" spans="1:12" x14ac:dyDescent="0.3">
      <c r="A54" s="5"/>
      <c r="B54" s="48" t="s">
        <v>111</v>
      </c>
      <c r="C54" s="48"/>
      <c r="D54" s="48"/>
      <c r="E54" s="48"/>
      <c r="F54" s="48"/>
      <c r="G54" s="48"/>
      <c r="H54" s="6"/>
      <c r="I54" s="5"/>
      <c r="J54" s="6"/>
      <c r="K54" s="6"/>
      <c r="L54" s="6"/>
    </row>
    <row r="55" spans="1:12" x14ac:dyDescent="0.3">
      <c r="A55" s="5"/>
      <c r="B55" s="48"/>
      <c r="C55" s="48"/>
      <c r="D55" s="48"/>
      <c r="E55" s="48"/>
      <c r="F55" s="48"/>
      <c r="G55" s="48"/>
      <c r="H55" s="6"/>
      <c r="I55" s="5"/>
      <c r="J55" s="6"/>
      <c r="K55" s="6"/>
      <c r="L55" s="6"/>
    </row>
    <row r="56" spans="1:12" x14ac:dyDescent="0.3">
      <c r="C56" s="6"/>
      <c r="D56" s="6"/>
      <c r="E56" s="6"/>
      <c r="F56" s="6"/>
      <c r="G56" s="6"/>
      <c r="H56" s="6"/>
      <c r="I56" s="5"/>
      <c r="J56" s="6"/>
      <c r="K56" s="6"/>
      <c r="L56" s="6"/>
    </row>
    <row r="57" spans="1:12" x14ac:dyDescent="0.3">
      <c r="C57" s="6"/>
      <c r="D57" s="6"/>
      <c r="E57" s="6"/>
      <c r="F57" s="6"/>
      <c r="G57" s="6"/>
      <c r="H57" s="6"/>
      <c r="I57" s="5"/>
      <c r="J57" s="6"/>
      <c r="K57" s="6"/>
      <c r="L57" s="6"/>
    </row>
    <row r="58" spans="1:12" x14ac:dyDescent="0.3">
      <c r="C58" s="6"/>
      <c r="D58" s="6"/>
      <c r="E58" s="6"/>
      <c r="F58" s="6"/>
      <c r="G58" s="6"/>
      <c r="H58" s="6"/>
      <c r="I58" s="5"/>
      <c r="J58" s="6"/>
      <c r="K58" s="6"/>
      <c r="L58" s="6"/>
    </row>
    <row r="59" spans="1:12" x14ac:dyDescent="0.3">
      <c r="A59" s="5"/>
      <c r="B59" s="6"/>
      <c r="C59" s="6"/>
      <c r="D59" s="6"/>
      <c r="E59" s="6"/>
      <c r="F59" s="6"/>
      <c r="G59" s="6"/>
      <c r="H59" s="6"/>
      <c r="I59" s="5"/>
      <c r="J59" s="6"/>
      <c r="K59" s="6"/>
      <c r="L59" s="6"/>
    </row>
    <row r="60" spans="1:12" x14ac:dyDescent="0.3">
      <c r="A60" s="5"/>
      <c r="B60" s="6"/>
      <c r="C60" s="6"/>
      <c r="D60" s="6"/>
      <c r="E60" s="6"/>
      <c r="F60" s="6"/>
      <c r="G60" s="6"/>
      <c r="H60" s="6"/>
      <c r="I60" s="5"/>
      <c r="J60" s="6"/>
      <c r="K60" s="6"/>
      <c r="L60" s="6"/>
    </row>
    <row r="61" spans="1:12" ht="15" thickBot="1" x14ac:dyDescent="0.35">
      <c r="A61" s="10"/>
      <c r="B61" s="11" t="s">
        <v>115</v>
      </c>
      <c r="C61" s="11"/>
      <c r="D61" s="11"/>
      <c r="E61" s="11"/>
      <c r="F61" s="11"/>
      <c r="G61" s="11"/>
      <c r="H61" s="11"/>
      <c r="I61" s="5"/>
      <c r="J61" s="6"/>
      <c r="K61" s="6"/>
      <c r="L61" s="6"/>
    </row>
    <row r="62" spans="1:12" ht="15" thickBot="1" x14ac:dyDescent="0.35"/>
    <row r="63" spans="1:12" ht="15" thickBot="1" x14ac:dyDescent="0.35">
      <c r="A63" s="61" t="s">
        <v>114</v>
      </c>
      <c r="B63" s="37"/>
      <c r="C63" s="3"/>
      <c r="D63" s="3"/>
      <c r="E63" s="3"/>
      <c r="F63" s="3"/>
      <c r="G63" s="3"/>
      <c r="H63" s="3"/>
      <c r="I63" s="3"/>
      <c r="J63" s="4"/>
    </row>
    <row r="64" spans="1:12" x14ac:dyDescent="0.3">
      <c r="A64" s="5"/>
      <c r="B64" s="6"/>
      <c r="C64" s="6"/>
      <c r="D64" s="6"/>
      <c r="E64" s="6"/>
      <c r="F64" s="6"/>
      <c r="G64" s="6"/>
      <c r="H64" s="6"/>
      <c r="I64" s="6"/>
      <c r="J64" s="7"/>
    </row>
    <row r="65" spans="1:10" x14ac:dyDescent="0.3">
      <c r="A65" s="60" t="s">
        <v>112</v>
      </c>
      <c r="B65" s="6"/>
      <c r="C65" s="6"/>
      <c r="D65" s="6"/>
      <c r="E65" s="6"/>
      <c r="F65" s="6"/>
      <c r="G65" s="6"/>
      <c r="H65" s="6"/>
      <c r="I65" s="6"/>
      <c r="J65" s="7"/>
    </row>
    <row r="66" spans="1:10" x14ac:dyDescent="0.3">
      <c r="A66" s="5"/>
      <c r="B66" s="6" t="s">
        <v>116</v>
      </c>
      <c r="C66" s="6"/>
      <c r="D66" s="6"/>
      <c r="E66" s="6"/>
      <c r="F66" s="6"/>
      <c r="G66" s="6"/>
      <c r="H66" s="6"/>
      <c r="I66" s="6"/>
      <c r="J66" s="7"/>
    </row>
    <row r="67" spans="1:10" ht="15" thickBot="1" x14ac:dyDescent="0.35">
      <c r="A67" s="5"/>
      <c r="B67" s="48" t="s">
        <v>120</v>
      </c>
      <c r="C67" s="6"/>
      <c r="D67" s="6"/>
      <c r="E67" s="6"/>
      <c r="F67" s="6"/>
      <c r="G67" s="6"/>
      <c r="H67" s="6"/>
      <c r="I67" s="6"/>
      <c r="J67" s="7"/>
    </row>
    <row r="68" spans="1:10" ht="15" thickBot="1" x14ac:dyDescent="0.35">
      <c r="A68" s="5"/>
      <c r="B68" s="6"/>
      <c r="C68" s="6" t="s">
        <v>5</v>
      </c>
      <c r="D68" s="8"/>
      <c r="E68" s="39" t="s">
        <v>38</v>
      </c>
      <c r="F68" s="6"/>
      <c r="G68" s="28" t="s">
        <v>74</v>
      </c>
      <c r="H68" s="42">
        <f>D68/(4*0.66)*1000</f>
        <v>0</v>
      </c>
      <c r="I68" s="39" t="s">
        <v>72</v>
      </c>
      <c r="J68" s="7"/>
    </row>
    <row r="69" spans="1:10" x14ac:dyDescent="0.3">
      <c r="A69" s="5"/>
      <c r="B69" s="6"/>
      <c r="C69" s="6"/>
      <c r="D69" s="6"/>
      <c r="E69" s="6"/>
      <c r="F69" s="6"/>
      <c r="G69" s="6" t="s">
        <v>93</v>
      </c>
      <c r="H69" s="6"/>
      <c r="I69" s="6"/>
      <c r="J69" s="7"/>
    </row>
    <row r="70" spans="1:10" x14ac:dyDescent="0.3">
      <c r="A70" s="5"/>
      <c r="B70" s="6"/>
      <c r="C70" s="6"/>
      <c r="D70" s="6"/>
      <c r="E70" s="6"/>
      <c r="F70" s="6"/>
      <c r="G70" s="6"/>
      <c r="H70" s="6"/>
      <c r="I70" s="6"/>
      <c r="J70" s="7"/>
    </row>
    <row r="71" spans="1:10" x14ac:dyDescent="0.3">
      <c r="A71" s="60" t="s">
        <v>117</v>
      </c>
      <c r="B71" s="6"/>
      <c r="C71" s="6"/>
      <c r="D71" s="6"/>
      <c r="E71" s="6"/>
      <c r="F71" s="6"/>
      <c r="G71" s="6"/>
      <c r="H71" s="6"/>
      <c r="I71" s="6"/>
      <c r="J71" s="7"/>
    </row>
    <row r="72" spans="1:10" x14ac:dyDescent="0.3">
      <c r="A72" s="5"/>
      <c r="B72" s="6" t="s">
        <v>119</v>
      </c>
      <c r="C72" s="6"/>
      <c r="D72" s="6"/>
      <c r="E72" s="6"/>
      <c r="F72" s="6"/>
      <c r="G72" s="6"/>
      <c r="H72" s="6"/>
      <c r="I72" s="6"/>
      <c r="J72" s="7"/>
    </row>
    <row r="73" spans="1:10" x14ac:dyDescent="0.3">
      <c r="A73" s="5"/>
      <c r="B73" s="6"/>
      <c r="C73" s="6"/>
      <c r="D73" s="6"/>
      <c r="E73" s="6"/>
      <c r="F73" s="6"/>
      <c r="G73" s="6"/>
      <c r="H73" s="6"/>
      <c r="I73" s="6"/>
      <c r="J73" s="7"/>
    </row>
    <row r="74" spans="1:10" x14ac:dyDescent="0.3">
      <c r="A74" s="5"/>
      <c r="B74" s="85" t="s">
        <v>118</v>
      </c>
      <c r="C74" s="85"/>
      <c r="D74" s="8"/>
      <c r="E74" s="6" t="s">
        <v>38</v>
      </c>
      <c r="F74" s="6"/>
      <c r="G74" s="6"/>
      <c r="H74" s="6"/>
      <c r="I74" s="6"/>
      <c r="J74" s="7"/>
    </row>
    <row r="75" spans="1:10" ht="15" thickBot="1" x14ac:dyDescent="0.35">
      <c r="A75" s="5"/>
      <c r="B75" s="6"/>
      <c r="C75" s="6"/>
      <c r="D75" s="6"/>
      <c r="E75" s="6"/>
      <c r="F75" s="6"/>
      <c r="G75" s="6"/>
      <c r="H75" s="6"/>
      <c r="I75" s="6"/>
      <c r="J75" s="7"/>
    </row>
    <row r="76" spans="1:10" ht="15" thickBot="1" x14ac:dyDescent="0.35">
      <c r="A76" s="5"/>
      <c r="B76" s="6"/>
      <c r="C76" s="6"/>
      <c r="D76" s="6" t="s">
        <v>2</v>
      </c>
      <c r="E76" s="6"/>
      <c r="F76" s="28" t="s">
        <v>74</v>
      </c>
      <c r="G76" s="42">
        <f>D77/(4*0.66)*1000</f>
        <v>-75.757575757575765</v>
      </c>
      <c r="H76" s="39" t="s">
        <v>72</v>
      </c>
      <c r="I76" s="6"/>
      <c r="J76" s="7"/>
    </row>
    <row r="77" spans="1:10" x14ac:dyDescent="0.3">
      <c r="A77" s="5"/>
      <c r="B77" s="6"/>
      <c r="C77" s="6"/>
      <c r="D77" s="9">
        <f>D74-0.2</f>
        <v>-0.2</v>
      </c>
      <c r="E77" s="6"/>
      <c r="F77" s="6" t="s">
        <v>93</v>
      </c>
      <c r="G77" s="6"/>
      <c r="H77" s="6"/>
      <c r="I77" s="6"/>
      <c r="J77" s="7"/>
    </row>
    <row r="78" spans="1:10" x14ac:dyDescent="0.3">
      <c r="A78" s="5"/>
      <c r="B78" s="6"/>
      <c r="C78" s="6"/>
      <c r="D78" s="6"/>
      <c r="E78" s="6"/>
      <c r="F78" s="6"/>
      <c r="G78" s="6"/>
      <c r="H78" s="6"/>
      <c r="I78" s="6"/>
      <c r="J78" s="7"/>
    </row>
    <row r="79" spans="1:10" x14ac:dyDescent="0.3">
      <c r="A79" s="60" t="s">
        <v>109</v>
      </c>
      <c r="B79" s="6"/>
      <c r="C79" s="6"/>
      <c r="D79" s="6"/>
      <c r="E79" s="6" t="s">
        <v>98</v>
      </c>
      <c r="F79" s="6"/>
      <c r="G79" s="6"/>
      <c r="H79" s="6"/>
      <c r="I79" s="6"/>
      <c r="J79" s="7"/>
    </row>
    <row r="80" spans="1:10" x14ac:dyDescent="0.3">
      <c r="A80" s="5"/>
      <c r="B80" s="6" t="s">
        <v>2</v>
      </c>
      <c r="C80" s="8"/>
      <c r="D80" s="6" t="s">
        <v>38</v>
      </c>
      <c r="E80" s="9">
        <f>0.9*C80</f>
        <v>0</v>
      </c>
      <c r="F80" s="6"/>
      <c r="G80" s="6"/>
      <c r="H80" s="6"/>
      <c r="I80" s="6"/>
      <c r="J80" s="7"/>
    </row>
    <row r="81" spans="1:10" x14ac:dyDescent="0.3">
      <c r="A81" s="5"/>
      <c r="B81" s="6" t="s">
        <v>1</v>
      </c>
      <c r="C81" s="8"/>
      <c r="D81" s="6" t="s">
        <v>38</v>
      </c>
      <c r="E81" s="9">
        <f>0.9*C81</f>
        <v>0</v>
      </c>
      <c r="F81" s="6"/>
      <c r="G81" s="6"/>
      <c r="H81" s="6"/>
      <c r="I81" s="6"/>
      <c r="J81" s="7"/>
    </row>
    <row r="82" spans="1:10" x14ac:dyDescent="0.3">
      <c r="A82" s="5"/>
      <c r="B82" s="6"/>
      <c r="C82" s="6"/>
      <c r="D82" s="6"/>
      <c r="E82" s="6"/>
      <c r="F82" s="6"/>
      <c r="G82" s="6"/>
      <c r="H82" s="6"/>
      <c r="I82" s="6"/>
      <c r="J82" s="7"/>
    </row>
    <row r="83" spans="1:10" x14ac:dyDescent="0.3">
      <c r="A83" s="5"/>
      <c r="B83" s="6" t="s">
        <v>74</v>
      </c>
      <c r="C83" s="9" t="e">
        <f>C80*C81/(2*(C80+C81)*0.66)*1000</f>
        <v>#DIV/0!</v>
      </c>
      <c r="D83" s="39" t="s">
        <v>72</v>
      </c>
      <c r="E83" s="9" t="e">
        <f>E80*E81/(2*(E80+E81)*0.66)*1000</f>
        <v>#DIV/0!</v>
      </c>
      <c r="F83" s="6"/>
      <c r="G83" s="6"/>
      <c r="H83" s="81" t="s">
        <v>122</v>
      </c>
      <c r="I83" s="85"/>
      <c r="J83" s="88"/>
    </row>
    <row r="84" spans="1:10" x14ac:dyDescent="0.3">
      <c r="A84" s="5"/>
      <c r="B84" s="6"/>
      <c r="C84" s="6" t="s">
        <v>93</v>
      </c>
      <c r="D84" s="6"/>
      <c r="E84" s="6"/>
      <c r="F84" s="6"/>
      <c r="G84" s="6"/>
      <c r="H84" s="85"/>
      <c r="I84" s="85"/>
      <c r="J84" s="88"/>
    </row>
    <row r="85" spans="1:10" x14ac:dyDescent="0.3">
      <c r="A85" s="60" t="s">
        <v>121</v>
      </c>
      <c r="B85" s="6"/>
      <c r="C85" s="6"/>
      <c r="D85" s="6"/>
      <c r="E85" s="6" t="s">
        <v>98</v>
      </c>
      <c r="F85" s="6"/>
      <c r="G85" s="6"/>
      <c r="H85" s="85"/>
      <c r="I85" s="85"/>
      <c r="J85" s="88"/>
    </row>
    <row r="86" spans="1:10" x14ac:dyDescent="0.3">
      <c r="A86" s="5"/>
      <c r="B86" s="6" t="s">
        <v>2</v>
      </c>
      <c r="C86" s="8"/>
      <c r="D86" s="6" t="s">
        <v>38</v>
      </c>
      <c r="E86" s="9">
        <f>0.9*C86</f>
        <v>0</v>
      </c>
      <c r="F86" s="6"/>
      <c r="G86" s="6"/>
      <c r="H86" s="6"/>
      <c r="I86" s="6"/>
      <c r="J86" s="7"/>
    </row>
    <row r="87" spans="1:10" x14ac:dyDescent="0.3">
      <c r="A87" s="5"/>
      <c r="B87" s="6" t="s">
        <v>1</v>
      </c>
      <c r="C87" s="8"/>
      <c r="D87" s="6" t="s">
        <v>38</v>
      </c>
      <c r="E87" s="9">
        <f>0.9*C87</f>
        <v>0</v>
      </c>
      <c r="F87" s="6"/>
      <c r="G87" s="6"/>
      <c r="H87" s="6"/>
      <c r="I87" s="6"/>
      <c r="J87" s="7"/>
    </row>
    <row r="88" spans="1:10" x14ac:dyDescent="0.3">
      <c r="A88" s="5"/>
      <c r="B88" s="6"/>
      <c r="C88" s="6"/>
      <c r="D88" s="6"/>
      <c r="E88" s="6"/>
      <c r="F88" s="6"/>
      <c r="G88" s="6"/>
      <c r="H88" s="6"/>
      <c r="I88" s="6"/>
      <c r="J88" s="7"/>
    </row>
    <row r="89" spans="1:10" x14ac:dyDescent="0.3">
      <c r="A89" s="5"/>
      <c r="B89" s="6" t="s">
        <v>74</v>
      </c>
      <c r="C89" s="9" t="e">
        <f>C86*C87/(2*(C86+C87)*0.66)*1000</f>
        <v>#DIV/0!</v>
      </c>
      <c r="D89" s="39" t="s">
        <v>72</v>
      </c>
      <c r="E89" s="9" t="e">
        <f>E86*E87/(2*(E86+E87)*0.66)*1000</f>
        <v>#DIV/0!</v>
      </c>
      <c r="F89" s="6"/>
      <c r="G89" s="6"/>
      <c r="H89" s="6"/>
      <c r="I89" s="6"/>
      <c r="J89" s="7"/>
    </row>
    <row r="90" spans="1:10" ht="15" thickBot="1" x14ac:dyDescent="0.35">
      <c r="A90" s="10"/>
      <c r="B90" s="11"/>
      <c r="C90" s="6" t="s">
        <v>93</v>
      </c>
      <c r="D90" s="11"/>
      <c r="E90" s="11"/>
      <c r="F90" s="11"/>
      <c r="G90" s="11"/>
      <c r="H90" s="11"/>
      <c r="I90" s="11"/>
      <c r="J90" s="12"/>
    </row>
    <row r="92" spans="1:10" x14ac:dyDescent="0.3">
      <c r="B92" s="23" t="s">
        <v>7</v>
      </c>
      <c r="C92" s="21" t="s">
        <v>8</v>
      </c>
      <c r="D92" s="63" t="s">
        <v>9</v>
      </c>
      <c r="F92" s="49" t="s">
        <v>99</v>
      </c>
      <c r="G92" s="6"/>
    </row>
    <row r="93" spans="1:10" x14ac:dyDescent="0.3">
      <c r="B93" s="24" t="s">
        <v>12</v>
      </c>
      <c r="C93" s="6">
        <v>1</v>
      </c>
      <c r="D93" s="26">
        <v>0.5</v>
      </c>
      <c r="F93" s="6" t="s">
        <v>100</v>
      </c>
      <c r="G93" s="6" t="s">
        <v>101</v>
      </c>
    </row>
    <row r="94" spans="1:10" x14ac:dyDescent="0.3">
      <c r="B94" s="24" t="s">
        <v>13</v>
      </c>
      <c r="C94" s="6">
        <v>1.5</v>
      </c>
      <c r="D94" s="26">
        <v>0.8</v>
      </c>
      <c r="F94" s="6" t="s">
        <v>102</v>
      </c>
      <c r="G94" s="6" t="s">
        <v>103</v>
      </c>
    </row>
    <row r="95" spans="1:10" x14ac:dyDescent="0.3">
      <c r="B95" s="24" t="s">
        <v>14</v>
      </c>
      <c r="C95" s="6">
        <v>2</v>
      </c>
      <c r="D95" s="26">
        <v>1.25</v>
      </c>
      <c r="F95" s="6" t="s">
        <v>104</v>
      </c>
      <c r="G95" s="6" t="s">
        <v>103</v>
      </c>
    </row>
    <row r="96" spans="1:10" x14ac:dyDescent="0.3">
      <c r="B96" s="24" t="s">
        <v>15</v>
      </c>
      <c r="C96" s="6">
        <v>3.2</v>
      </c>
      <c r="D96" s="26">
        <v>1.6</v>
      </c>
      <c r="F96" s="6" t="s">
        <v>105</v>
      </c>
      <c r="G96" s="6" t="s">
        <v>103</v>
      </c>
    </row>
    <row r="97" spans="2:7" x14ac:dyDescent="0.3">
      <c r="B97" s="64" t="s">
        <v>16</v>
      </c>
      <c r="C97" s="44">
        <v>0.6</v>
      </c>
      <c r="D97" s="58">
        <v>0.3</v>
      </c>
      <c r="F97" s="48" t="s">
        <v>107</v>
      </c>
      <c r="G97" s="6" t="s">
        <v>103</v>
      </c>
    </row>
    <row r="98" spans="2:7" x14ac:dyDescent="0.3">
      <c r="E98" s="90" t="s">
        <v>108</v>
      </c>
      <c r="F98" s="90"/>
      <c r="G98" s="6" t="s">
        <v>103</v>
      </c>
    </row>
  </sheetData>
  <mergeCells count="10">
    <mergeCell ref="E98:F98"/>
    <mergeCell ref="A1:C1"/>
    <mergeCell ref="A3:C3"/>
    <mergeCell ref="A8:C8"/>
    <mergeCell ref="J4:L5"/>
    <mergeCell ref="A14:C14"/>
    <mergeCell ref="A24:B24"/>
    <mergeCell ref="A50:B50"/>
    <mergeCell ref="B74:C74"/>
    <mergeCell ref="H83:J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EBA2-6ED6-4C1C-9415-3DE4CDAA5664}">
  <dimension ref="A1:O92"/>
  <sheetViews>
    <sheetView topLeftCell="A43" zoomScale="70" zoomScaleNormal="70" workbookViewId="0">
      <selection activeCell="D59" sqref="D59"/>
    </sheetView>
  </sheetViews>
  <sheetFormatPr defaultRowHeight="14.4" x14ac:dyDescent="0.3"/>
  <cols>
    <col min="4" max="4" width="12.77734375" bestFit="1" customWidth="1"/>
    <col min="7" max="8" width="12.44140625" bestFit="1" customWidth="1"/>
  </cols>
  <sheetData>
    <row r="1" spans="1:15" ht="15" thickBot="1" x14ac:dyDescent="0.35">
      <c r="A1" s="62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x14ac:dyDescent="0.3">
      <c r="A3" s="65" t="s">
        <v>124</v>
      </c>
      <c r="B3" s="21"/>
      <c r="C3" s="63"/>
      <c r="D3" s="20"/>
      <c r="E3" s="20"/>
      <c r="F3" s="20"/>
      <c r="G3" s="20"/>
      <c r="H3" s="20"/>
      <c r="I3" s="20"/>
      <c r="J3" s="55"/>
      <c r="K3" s="6"/>
      <c r="L3" s="6"/>
      <c r="M3" s="6"/>
      <c r="N3" s="6"/>
      <c r="O3" s="7"/>
    </row>
    <row r="4" spans="1:15" x14ac:dyDescent="0.3">
      <c r="A4" s="5"/>
      <c r="B4" s="6"/>
      <c r="C4" s="6"/>
      <c r="D4" s="6"/>
      <c r="E4" s="6"/>
      <c r="F4" s="6" t="s">
        <v>127</v>
      </c>
      <c r="G4" s="6"/>
      <c r="H4" s="9">
        <f>D5*(1+D7/100)</f>
        <v>0</v>
      </c>
      <c r="I4" s="6"/>
      <c r="J4" s="26"/>
      <c r="K4" s="6"/>
      <c r="L4" s="6"/>
      <c r="M4" s="6"/>
      <c r="N4" s="6"/>
      <c r="O4" s="7"/>
    </row>
    <row r="5" spans="1:15" x14ac:dyDescent="0.3">
      <c r="A5" s="66" t="s">
        <v>130</v>
      </c>
      <c r="B5" s="85" t="s">
        <v>139</v>
      </c>
      <c r="C5" s="85"/>
      <c r="D5" s="8"/>
      <c r="E5" s="6"/>
      <c r="F5" s="6" t="s">
        <v>128</v>
      </c>
      <c r="G5" s="6"/>
      <c r="H5" s="9">
        <f>D5*(1-D7/100)</f>
        <v>0</v>
      </c>
      <c r="I5" s="6"/>
      <c r="J5" s="26"/>
      <c r="K5" s="6"/>
      <c r="L5" s="6"/>
      <c r="M5" s="6"/>
      <c r="N5" s="6"/>
      <c r="O5" s="7"/>
    </row>
    <row r="6" spans="1:15" ht="15" thickBot="1" x14ac:dyDescent="0.35">
      <c r="A6" s="5"/>
      <c r="B6" s="6"/>
      <c r="C6" s="39" t="s">
        <v>125</v>
      </c>
      <c r="D6" s="8"/>
      <c r="E6" s="6"/>
      <c r="F6" s="6"/>
      <c r="G6" s="6"/>
      <c r="H6" s="6"/>
      <c r="I6" s="6"/>
      <c r="J6" s="26"/>
      <c r="K6" s="6"/>
      <c r="L6" s="6"/>
      <c r="M6" s="6"/>
      <c r="N6" s="6"/>
      <c r="O6" s="7"/>
    </row>
    <row r="7" spans="1:15" ht="15" thickBot="1" x14ac:dyDescent="0.35">
      <c r="A7" s="5"/>
      <c r="B7" s="6"/>
      <c r="C7" s="6" t="s">
        <v>126</v>
      </c>
      <c r="D7" s="8"/>
      <c r="E7" s="6" t="s">
        <v>91</v>
      </c>
      <c r="F7" s="28" t="s">
        <v>146</v>
      </c>
      <c r="G7" s="36"/>
      <c r="H7" s="42" t="e">
        <f>(H4-H5)/(2*3*D6)</f>
        <v>#DIV/0!</v>
      </c>
      <c r="I7" s="6"/>
      <c r="J7" s="26"/>
      <c r="K7" s="6"/>
      <c r="L7" s="6"/>
      <c r="M7" s="6"/>
      <c r="N7" s="6"/>
      <c r="O7" s="7"/>
    </row>
    <row r="8" spans="1:15" ht="14.4" customHeight="1" x14ac:dyDescent="0.3">
      <c r="A8" s="5"/>
      <c r="B8" s="6"/>
      <c r="C8" s="6"/>
      <c r="D8" s="48"/>
      <c r="E8" s="6"/>
      <c r="F8" s="6" t="s">
        <v>135</v>
      </c>
      <c r="G8" s="6"/>
      <c r="H8" s="9" t="e">
        <f>ROUND(3*H7, 2)</f>
        <v>#DIV/0!</v>
      </c>
      <c r="I8" s="81" t="s">
        <v>136</v>
      </c>
      <c r="J8" s="91"/>
      <c r="K8" s="6"/>
      <c r="L8" s="6"/>
      <c r="M8" s="6"/>
      <c r="N8" s="6"/>
      <c r="O8" s="7"/>
    </row>
    <row r="9" spans="1:15" x14ac:dyDescent="0.3">
      <c r="A9" s="43"/>
      <c r="B9" s="44"/>
      <c r="C9" s="44"/>
      <c r="D9" s="44"/>
      <c r="E9" s="44"/>
      <c r="F9" s="44"/>
      <c r="G9" s="44"/>
      <c r="H9" s="44"/>
      <c r="I9" s="92"/>
      <c r="J9" s="93"/>
      <c r="K9" s="6"/>
      <c r="L9" s="6"/>
      <c r="M9" s="6"/>
      <c r="N9" s="6"/>
      <c r="O9" s="7"/>
    </row>
    <row r="10" spans="1:15" x14ac:dyDescent="0.3">
      <c r="A10" s="5"/>
      <c r="B10" s="6"/>
      <c r="C10" s="6"/>
      <c r="D10" s="6"/>
      <c r="E10" s="6"/>
      <c r="F10" s="6"/>
      <c r="G10" s="6"/>
      <c r="H10" s="6"/>
      <c r="I10" s="6"/>
      <c r="J10" s="26"/>
      <c r="K10" s="6"/>
      <c r="L10" s="6"/>
      <c r="M10" s="6"/>
      <c r="N10" s="6"/>
      <c r="O10" s="7"/>
    </row>
    <row r="11" spans="1:15" x14ac:dyDescent="0.3">
      <c r="A11" s="66" t="s">
        <v>131</v>
      </c>
      <c r="B11" s="85" t="s">
        <v>139</v>
      </c>
      <c r="C11" s="85"/>
      <c r="D11" s="8"/>
      <c r="E11" s="6"/>
      <c r="F11" s="6" t="s">
        <v>126</v>
      </c>
      <c r="G11" s="9">
        <f>D12-D11</f>
        <v>0</v>
      </c>
      <c r="H11" s="6"/>
      <c r="I11" s="6"/>
      <c r="J11" s="26"/>
      <c r="K11" s="6"/>
      <c r="L11" s="6"/>
      <c r="M11" s="6"/>
      <c r="N11" s="6"/>
      <c r="O11" s="7"/>
    </row>
    <row r="12" spans="1:15" ht="15" thickBot="1" x14ac:dyDescent="0.35">
      <c r="A12" s="5"/>
      <c r="B12" s="6"/>
      <c r="C12" s="39" t="s">
        <v>132</v>
      </c>
      <c r="D12" s="8"/>
      <c r="E12" s="6"/>
      <c r="F12" s="6"/>
      <c r="G12" s="6"/>
      <c r="H12" s="6"/>
      <c r="I12" s="6"/>
      <c r="J12" s="26"/>
      <c r="K12" s="6"/>
      <c r="L12" s="6"/>
      <c r="M12" s="6"/>
      <c r="N12" s="6"/>
      <c r="O12" s="7"/>
    </row>
    <row r="13" spans="1:15" ht="15" thickBot="1" x14ac:dyDescent="0.35">
      <c r="A13" s="5"/>
      <c r="B13" s="6"/>
      <c r="C13" s="6" t="s">
        <v>133</v>
      </c>
      <c r="D13" s="8"/>
      <c r="E13" s="6"/>
      <c r="F13" s="28" t="s">
        <v>144</v>
      </c>
      <c r="G13" s="42" t="e">
        <f>2*G11/(2*3*D14)</f>
        <v>#DIV/0!</v>
      </c>
      <c r="H13" s="6"/>
      <c r="I13" s="6"/>
      <c r="J13" s="26"/>
      <c r="K13" s="6"/>
      <c r="L13" s="6"/>
      <c r="M13" s="6"/>
      <c r="N13" s="6"/>
      <c r="O13" s="7"/>
    </row>
    <row r="14" spans="1:15" x14ac:dyDescent="0.3">
      <c r="A14" s="5"/>
      <c r="B14" s="6"/>
      <c r="C14" s="39" t="s">
        <v>125</v>
      </c>
      <c r="D14" s="8"/>
      <c r="E14" s="6"/>
      <c r="F14" s="6"/>
      <c r="G14" s="48"/>
      <c r="H14" s="6"/>
      <c r="I14" s="6"/>
      <c r="J14" s="26"/>
      <c r="K14" s="6"/>
      <c r="L14" s="6"/>
      <c r="M14" s="6"/>
      <c r="N14" s="6"/>
      <c r="O14" s="7"/>
    </row>
    <row r="15" spans="1:15" x14ac:dyDescent="0.3">
      <c r="A15" s="5"/>
      <c r="B15" s="6"/>
      <c r="C15" s="39"/>
      <c r="D15" s="48"/>
      <c r="E15" s="6"/>
      <c r="F15" s="6" t="s">
        <v>135</v>
      </c>
      <c r="G15" s="6"/>
      <c r="H15" s="9" t="e">
        <f>ROUND(3*G13, 2)</f>
        <v>#DIV/0!</v>
      </c>
      <c r="I15" s="81" t="s">
        <v>136</v>
      </c>
      <c r="J15" s="91"/>
      <c r="K15" s="6"/>
      <c r="L15" s="6"/>
      <c r="M15" s="6"/>
      <c r="N15" s="6"/>
      <c r="O15" s="7"/>
    </row>
    <row r="16" spans="1:15" x14ac:dyDescent="0.3">
      <c r="A16" s="43"/>
      <c r="B16" s="44"/>
      <c r="C16" s="44"/>
      <c r="D16" s="44"/>
      <c r="E16" s="44"/>
      <c r="F16" s="44"/>
      <c r="G16" s="44"/>
      <c r="H16" s="44"/>
      <c r="I16" s="92"/>
      <c r="J16" s="93"/>
      <c r="K16" s="6"/>
      <c r="L16" s="6"/>
      <c r="M16" s="6"/>
      <c r="N16" s="6"/>
      <c r="O16" s="7"/>
    </row>
    <row r="17" spans="1:15" x14ac:dyDescent="0.3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65" t="s">
        <v>137</v>
      </c>
      <c r="B18" s="21"/>
      <c r="C18" s="63"/>
      <c r="D18" s="20"/>
      <c r="E18" s="20"/>
      <c r="F18" s="20"/>
      <c r="G18" s="20"/>
      <c r="H18" s="20"/>
      <c r="I18" s="20"/>
      <c r="J18" s="55"/>
      <c r="K18" s="6"/>
      <c r="L18" s="81" t="s">
        <v>150</v>
      </c>
      <c r="M18" s="85"/>
      <c r="N18" s="85"/>
      <c r="O18" s="88"/>
    </row>
    <row r="19" spans="1:15" x14ac:dyDescent="0.3">
      <c r="A19" s="5"/>
      <c r="B19" s="6"/>
      <c r="C19" s="6"/>
      <c r="D19" s="6"/>
      <c r="E19" s="6"/>
      <c r="F19" s="6"/>
      <c r="G19" s="6"/>
      <c r="H19" s="6"/>
      <c r="I19" s="6"/>
      <c r="J19" s="26"/>
      <c r="K19" s="6"/>
      <c r="L19" s="85"/>
      <c r="M19" s="85"/>
      <c r="N19" s="85"/>
      <c r="O19" s="88"/>
    </row>
    <row r="20" spans="1:15" x14ac:dyDescent="0.3">
      <c r="A20" s="5"/>
      <c r="B20" s="85" t="s">
        <v>139</v>
      </c>
      <c r="C20" s="85"/>
      <c r="D20" s="8"/>
      <c r="E20" s="6"/>
      <c r="F20" s="6"/>
      <c r="G20" s="6" t="s">
        <v>147</v>
      </c>
      <c r="H20" s="9">
        <f>D20*(1+D23/100)</f>
        <v>0</v>
      </c>
      <c r="I20" s="6"/>
      <c r="J20" s="26"/>
      <c r="K20" s="6"/>
      <c r="L20" s="6"/>
      <c r="M20" s="6"/>
      <c r="N20" s="6"/>
      <c r="O20" s="7"/>
    </row>
    <row r="21" spans="1:15" x14ac:dyDescent="0.3">
      <c r="A21" s="5"/>
      <c r="B21" s="6" t="s">
        <v>138</v>
      </c>
      <c r="C21" s="6"/>
      <c r="D21" s="8"/>
      <c r="E21" s="6"/>
      <c r="F21" s="6"/>
      <c r="G21" s="6" t="s">
        <v>148</v>
      </c>
      <c r="H21" s="9">
        <f>D20*(1-D23/100)</f>
        <v>0</v>
      </c>
      <c r="I21" s="6"/>
      <c r="J21" s="26"/>
      <c r="K21" s="6"/>
      <c r="L21" s="6"/>
      <c r="M21" s="6"/>
      <c r="N21" s="6"/>
      <c r="O21" s="7"/>
    </row>
    <row r="22" spans="1:15" x14ac:dyDescent="0.3">
      <c r="A22" s="5"/>
      <c r="B22" s="6"/>
      <c r="C22" s="39" t="s">
        <v>125</v>
      </c>
      <c r="D22" s="8"/>
      <c r="E22" s="6"/>
      <c r="F22" s="6"/>
      <c r="G22" s="6"/>
      <c r="H22" s="6"/>
      <c r="I22" s="6"/>
      <c r="J22" s="26"/>
      <c r="K22" s="6"/>
      <c r="L22" s="6"/>
      <c r="M22" s="6"/>
      <c r="N22" s="6"/>
      <c r="O22" s="7"/>
    </row>
    <row r="23" spans="1:15" ht="15" thickBot="1" x14ac:dyDescent="0.35">
      <c r="A23" s="5"/>
      <c r="B23" s="6"/>
      <c r="C23" s="6" t="s">
        <v>126</v>
      </c>
      <c r="D23" s="8"/>
      <c r="E23" s="6" t="s">
        <v>91</v>
      </c>
      <c r="F23" s="6" t="s">
        <v>140</v>
      </c>
      <c r="G23" s="6"/>
      <c r="H23" s="6"/>
      <c r="I23" s="6"/>
      <c r="J23" s="26"/>
      <c r="K23" s="6"/>
      <c r="L23" s="6"/>
      <c r="M23" s="6"/>
      <c r="N23" s="6"/>
      <c r="O23" s="7"/>
    </row>
    <row r="24" spans="1:15" ht="15" thickBot="1" x14ac:dyDescent="0.35">
      <c r="A24" s="5"/>
      <c r="B24" s="6"/>
      <c r="C24" s="6"/>
      <c r="D24" s="6"/>
      <c r="E24" s="6"/>
      <c r="F24" s="28" t="s">
        <v>145</v>
      </c>
      <c r="G24" s="42" t="e">
        <f>ROUND(MIN((H20-D21)/(3*D22),(D21-H21)/(3*D22)), 2)</f>
        <v>#DIV/0!</v>
      </c>
      <c r="H24" s="6"/>
      <c r="I24" s="6"/>
      <c r="J24" s="26"/>
      <c r="K24" s="6"/>
      <c r="L24" s="6"/>
      <c r="M24" s="6"/>
      <c r="N24" s="6"/>
      <c r="O24" s="7"/>
    </row>
    <row r="25" spans="1:15" x14ac:dyDescent="0.3">
      <c r="A25" s="5"/>
      <c r="B25" s="6"/>
      <c r="C25" s="6"/>
      <c r="D25" s="6"/>
      <c r="E25" s="6"/>
      <c r="F25" s="6"/>
      <c r="G25" s="6"/>
      <c r="H25" s="6"/>
      <c r="I25" s="6"/>
      <c r="J25" s="26"/>
      <c r="K25" s="6"/>
      <c r="L25" s="6"/>
      <c r="M25" s="6"/>
      <c r="N25" s="6"/>
      <c r="O25" s="7"/>
    </row>
    <row r="26" spans="1:15" x14ac:dyDescent="0.3">
      <c r="A26" s="5"/>
      <c r="B26" s="6"/>
      <c r="C26" s="6"/>
      <c r="D26" s="6"/>
      <c r="E26" s="6"/>
      <c r="F26" s="6" t="s">
        <v>135</v>
      </c>
      <c r="G26" s="6"/>
      <c r="H26" s="9" t="e">
        <f>ROUND(3*G24, 2)</f>
        <v>#DIV/0!</v>
      </c>
      <c r="I26" s="6"/>
      <c r="J26" s="26"/>
      <c r="K26" s="6"/>
      <c r="L26" s="6"/>
      <c r="M26" s="6"/>
      <c r="N26" s="6"/>
      <c r="O26" s="7"/>
    </row>
    <row r="27" spans="1:15" x14ac:dyDescent="0.3">
      <c r="A27" s="43"/>
      <c r="B27" s="44"/>
      <c r="C27" s="44"/>
      <c r="D27" s="44"/>
      <c r="E27" s="44"/>
      <c r="F27" s="44"/>
      <c r="G27" s="44"/>
      <c r="H27" s="44"/>
      <c r="I27" s="44"/>
      <c r="J27" s="58"/>
      <c r="K27" s="6"/>
      <c r="L27" s="6"/>
      <c r="M27" s="6"/>
      <c r="N27" s="6"/>
      <c r="O27" s="7"/>
    </row>
    <row r="28" spans="1:15" x14ac:dyDescent="0.3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65" t="s">
        <v>141</v>
      </c>
      <c r="B29" s="63"/>
      <c r="C29" s="20"/>
      <c r="D29" s="20"/>
      <c r="E29" s="20"/>
      <c r="F29" s="20"/>
      <c r="G29" s="20"/>
      <c r="H29" s="20"/>
      <c r="I29" s="20"/>
      <c r="J29" s="55"/>
      <c r="K29" s="6"/>
      <c r="L29" s="6"/>
      <c r="M29" s="6"/>
      <c r="N29" s="6"/>
      <c r="O29" s="7"/>
    </row>
    <row r="30" spans="1:15" x14ac:dyDescent="0.3">
      <c r="A30" s="5"/>
      <c r="B30" s="6"/>
      <c r="C30" s="6"/>
      <c r="D30" s="6"/>
      <c r="E30" s="6"/>
      <c r="F30" s="6"/>
      <c r="G30" s="6"/>
      <c r="H30" s="6"/>
      <c r="I30" s="6"/>
      <c r="J30" s="26"/>
      <c r="K30" s="6"/>
      <c r="L30" s="6"/>
      <c r="M30" s="6"/>
      <c r="N30" s="6"/>
      <c r="O30" s="7"/>
    </row>
    <row r="31" spans="1:15" ht="15" thickBot="1" x14ac:dyDescent="0.35">
      <c r="A31" s="5"/>
      <c r="B31" s="6" t="s">
        <v>142</v>
      </c>
      <c r="C31" s="6"/>
      <c r="D31" s="8"/>
      <c r="E31" s="39" t="s">
        <v>72</v>
      </c>
      <c r="F31" s="6" t="s">
        <v>129</v>
      </c>
      <c r="G31" s="6"/>
      <c r="H31" s="6"/>
      <c r="I31" s="6"/>
      <c r="J31" s="26"/>
      <c r="K31" s="6"/>
      <c r="L31" s="6"/>
      <c r="M31" s="6"/>
      <c r="N31" s="6"/>
      <c r="O31" s="7"/>
    </row>
    <row r="32" spans="1:15" ht="15" thickBot="1" x14ac:dyDescent="0.35">
      <c r="A32" s="5"/>
      <c r="B32" s="6"/>
      <c r="C32" s="39" t="s">
        <v>125</v>
      </c>
      <c r="D32" s="8"/>
      <c r="E32" s="39" t="s">
        <v>72</v>
      </c>
      <c r="F32" s="28" t="s">
        <v>144</v>
      </c>
      <c r="G32" s="42" t="e">
        <f>D34/(3*D32)</f>
        <v>#DIV/0!</v>
      </c>
      <c r="H32" s="6"/>
      <c r="I32" s="6"/>
      <c r="J32" s="26"/>
      <c r="K32" s="6"/>
      <c r="L32" s="6"/>
      <c r="M32" s="6"/>
      <c r="N32" s="6"/>
      <c r="O32" s="7"/>
    </row>
    <row r="33" spans="1:15" x14ac:dyDescent="0.3">
      <c r="A33" s="5"/>
      <c r="B33" s="6"/>
      <c r="C33" s="6"/>
      <c r="D33" s="6"/>
      <c r="E33" s="39"/>
      <c r="F33" s="6"/>
      <c r="G33" s="6"/>
      <c r="H33" s="6"/>
      <c r="I33" s="6"/>
      <c r="J33" s="26"/>
      <c r="K33" s="6"/>
      <c r="L33" s="6"/>
      <c r="M33" s="6"/>
      <c r="N33" s="6"/>
      <c r="O33" s="7"/>
    </row>
    <row r="34" spans="1:15" x14ac:dyDescent="0.3">
      <c r="A34" s="5"/>
      <c r="B34" s="6"/>
      <c r="C34" s="6" t="s">
        <v>143</v>
      </c>
      <c r="D34" s="9">
        <f>D31/4</f>
        <v>0</v>
      </c>
      <c r="E34" s="39" t="s">
        <v>72</v>
      </c>
      <c r="F34" s="6" t="s">
        <v>135</v>
      </c>
      <c r="G34" s="6"/>
      <c r="H34" s="9" t="e">
        <f>ROUND(3*G32, 2)</f>
        <v>#DIV/0!</v>
      </c>
      <c r="I34" s="6"/>
      <c r="J34" s="26"/>
      <c r="K34" s="6"/>
      <c r="L34" s="6"/>
      <c r="M34" s="6"/>
      <c r="N34" s="6"/>
      <c r="O34" s="7"/>
    </row>
    <row r="35" spans="1:15" x14ac:dyDescent="0.3">
      <c r="A35" s="5"/>
      <c r="B35" s="6"/>
      <c r="C35" s="6"/>
      <c r="D35" s="6"/>
      <c r="E35" s="6"/>
      <c r="F35" s="6"/>
      <c r="G35" s="6"/>
      <c r="H35" s="6"/>
      <c r="I35" s="6"/>
      <c r="J35" s="26"/>
      <c r="K35" s="6"/>
      <c r="L35" s="6"/>
      <c r="M35" s="6"/>
      <c r="N35" s="6"/>
      <c r="O35" s="7"/>
    </row>
    <row r="36" spans="1:15" x14ac:dyDescent="0.3">
      <c r="A36" s="5"/>
      <c r="B36" s="23" t="s">
        <v>7</v>
      </c>
      <c r="C36" s="63" t="s">
        <v>203</v>
      </c>
      <c r="D36" s="6"/>
      <c r="E36" s="6"/>
      <c r="F36" s="6"/>
      <c r="G36" s="6"/>
      <c r="H36" s="6"/>
      <c r="I36" s="6"/>
      <c r="J36" s="26"/>
      <c r="K36" s="6"/>
      <c r="L36" s="6"/>
      <c r="M36" s="6"/>
      <c r="N36" s="6"/>
      <c r="O36" s="7"/>
    </row>
    <row r="37" spans="1:15" x14ac:dyDescent="0.3">
      <c r="A37" s="5"/>
      <c r="B37" s="24" t="s">
        <v>12</v>
      </c>
      <c r="C37" s="26">
        <v>500</v>
      </c>
      <c r="D37" s="6"/>
      <c r="E37" s="6"/>
      <c r="F37" s="6"/>
      <c r="G37" s="6"/>
      <c r="H37" s="6"/>
      <c r="I37" s="6"/>
      <c r="J37" s="26"/>
      <c r="K37" s="6"/>
      <c r="L37" s="6"/>
      <c r="M37" s="6"/>
      <c r="N37" s="6"/>
      <c r="O37" s="7"/>
    </row>
    <row r="38" spans="1:15" x14ac:dyDescent="0.3">
      <c r="A38" s="5"/>
      <c r="B38" s="24" t="s">
        <v>13</v>
      </c>
      <c r="C38" s="26">
        <v>800</v>
      </c>
      <c r="D38" s="6" t="s">
        <v>149</v>
      </c>
      <c r="E38" s="6"/>
      <c r="F38" s="6"/>
      <c r="G38" s="6"/>
      <c r="H38" s="6"/>
      <c r="I38" s="6"/>
      <c r="J38" s="26"/>
      <c r="K38" s="6"/>
      <c r="L38" s="6"/>
      <c r="M38" s="6"/>
      <c r="N38" s="6"/>
      <c r="O38" s="7"/>
    </row>
    <row r="39" spans="1:15" x14ac:dyDescent="0.3">
      <c r="A39" s="5"/>
      <c r="B39" s="24" t="s">
        <v>14</v>
      </c>
      <c r="C39" s="26">
        <v>1250</v>
      </c>
      <c r="D39" s="6"/>
      <c r="E39" s="6"/>
      <c r="F39" s="6"/>
      <c r="G39" s="6"/>
      <c r="H39" s="6"/>
      <c r="I39" s="6"/>
      <c r="J39" s="26"/>
      <c r="K39" s="6"/>
      <c r="L39" s="6"/>
      <c r="M39" s="6"/>
      <c r="N39" s="6"/>
      <c r="O39" s="7"/>
    </row>
    <row r="40" spans="1:15" x14ac:dyDescent="0.3">
      <c r="A40" s="5"/>
      <c r="B40" s="24" t="s">
        <v>15</v>
      </c>
      <c r="C40" s="26">
        <v>1600</v>
      </c>
      <c r="D40" s="6"/>
      <c r="E40" s="6"/>
      <c r="F40" s="6"/>
      <c r="G40" s="6"/>
      <c r="H40" s="6"/>
      <c r="I40" s="6"/>
      <c r="J40" s="26"/>
      <c r="K40" s="6"/>
      <c r="L40" s="6"/>
      <c r="M40" s="6"/>
      <c r="N40" s="6"/>
      <c r="O40" s="7"/>
    </row>
    <row r="41" spans="1:15" x14ac:dyDescent="0.3">
      <c r="A41" s="5"/>
      <c r="B41" s="64" t="s">
        <v>16</v>
      </c>
      <c r="C41" s="58">
        <v>300</v>
      </c>
      <c r="D41" s="6"/>
      <c r="E41" s="6"/>
      <c r="F41" s="6"/>
      <c r="G41" s="6"/>
      <c r="H41" s="6"/>
      <c r="I41" s="6"/>
      <c r="J41" s="26"/>
      <c r="K41" s="6"/>
      <c r="L41" s="6"/>
      <c r="M41" s="6"/>
      <c r="N41" s="6"/>
      <c r="O41" s="7"/>
    </row>
    <row r="42" spans="1:15" x14ac:dyDescent="0.3">
      <c r="A42" s="43"/>
      <c r="B42" s="44"/>
      <c r="C42" s="44"/>
      <c r="D42" s="44"/>
      <c r="E42" s="44"/>
      <c r="F42" s="44"/>
      <c r="G42" s="44"/>
      <c r="H42" s="44"/>
      <c r="I42" s="44"/>
      <c r="J42" s="58"/>
      <c r="K42" s="6"/>
      <c r="L42" s="6"/>
      <c r="M42" s="6"/>
      <c r="N42" s="6"/>
      <c r="O42" s="7"/>
    </row>
    <row r="43" spans="1:15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x14ac:dyDescent="0.3">
      <c r="A44" s="95" t="s">
        <v>151</v>
      </c>
      <c r="B44" s="96"/>
      <c r="C44" s="97"/>
      <c r="D44" s="20"/>
      <c r="E44" s="20"/>
      <c r="F44" s="20"/>
      <c r="G44" s="20"/>
      <c r="H44" s="20"/>
      <c r="I44" s="20"/>
      <c r="J44" s="55"/>
      <c r="K44" s="6"/>
      <c r="L44" s="6"/>
      <c r="M44" s="6"/>
      <c r="N44" s="6"/>
      <c r="O44" s="7"/>
    </row>
    <row r="45" spans="1:15" x14ac:dyDescent="0.3">
      <c r="A45" s="5"/>
      <c r="B45" s="6"/>
      <c r="C45" s="6"/>
      <c r="D45" s="6"/>
      <c r="E45" s="6"/>
      <c r="F45" s="6"/>
      <c r="G45" s="6"/>
      <c r="H45" s="6"/>
      <c r="I45" s="6"/>
      <c r="J45" s="26"/>
      <c r="K45" s="6"/>
      <c r="L45" s="6"/>
      <c r="M45" s="6"/>
      <c r="N45" s="6"/>
      <c r="O45" s="7"/>
    </row>
    <row r="46" spans="1:15" ht="15" thickBot="1" x14ac:dyDescent="0.35">
      <c r="A46" s="5"/>
      <c r="B46" s="6" t="s">
        <v>142</v>
      </c>
      <c r="C46" s="6"/>
      <c r="D46" s="8"/>
      <c r="E46" s="39" t="s">
        <v>72</v>
      </c>
      <c r="F46" s="6" t="s">
        <v>129</v>
      </c>
      <c r="G46" s="6"/>
      <c r="H46" s="6"/>
      <c r="I46" s="6"/>
      <c r="J46" s="26"/>
      <c r="K46" s="6"/>
      <c r="L46" s="6"/>
      <c r="M46" s="6"/>
      <c r="N46" s="6"/>
      <c r="O46" s="7"/>
    </row>
    <row r="47" spans="1:15" ht="15" thickBot="1" x14ac:dyDescent="0.35">
      <c r="A47" s="5"/>
      <c r="B47" s="6"/>
      <c r="C47" s="39" t="s">
        <v>125</v>
      </c>
      <c r="D47" s="8"/>
      <c r="E47" s="39" t="s">
        <v>72</v>
      </c>
      <c r="F47" s="28" t="s">
        <v>144</v>
      </c>
      <c r="G47" s="42" t="e">
        <f>IF(D48&gt;0,(D50-D48)/(3*D47),(D48+D50)/(3*D47))</f>
        <v>#DIV/0!</v>
      </c>
      <c r="H47" s="6"/>
      <c r="I47" s="6"/>
      <c r="J47" s="26"/>
      <c r="K47" s="6"/>
      <c r="L47" s="6"/>
      <c r="M47" s="6"/>
      <c r="N47" s="6"/>
      <c r="O47" s="7"/>
    </row>
    <row r="48" spans="1:15" x14ac:dyDescent="0.3">
      <c r="A48" s="5"/>
      <c r="B48" s="6" t="s">
        <v>153</v>
      </c>
      <c r="C48" s="39"/>
      <c r="D48" s="8"/>
      <c r="E48" s="39" t="s">
        <v>72</v>
      </c>
      <c r="F48" s="6"/>
      <c r="G48" s="48"/>
      <c r="H48" s="6"/>
      <c r="I48" s="6"/>
      <c r="J48" s="26"/>
      <c r="K48" s="6"/>
      <c r="L48" s="6"/>
      <c r="M48" s="6"/>
      <c r="N48" s="6"/>
      <c r="O48" s="7"/>
    </row>
    <row r="49" spans="1:15" x14ac:dyDescent="0.3">
      <c r="A49" s="5"/>
      <c r="B49" s="6"/>
      <c r="C49" s="6"/>
      <c r="D49" s="6"/>
      <c r="E49" s="39"/>
      <c r="F49" s="6"/>
      <c r="G49" s="6"/>
      <c r="H49" s="6"/>
      <c r="I49" s="6"/>
      <c r="J49" s="26"/>
      <c r="K49" s="6"/>
      <c r="L49" s="6"/>
      <c r="M49" s="6"/>
      <c r="N49" s="6"/>
      <c r="O49" s="7"/>
    </row>
    <row r="50" spans="1:15" x14ac:dyDescent="0.3">
      <c r="A50" s="5"/>
      <c r="B50" s="6"/>
      <c r="C50" s="6" t="s">
        <v>143</v>
      </c>
      <c r="D50" s="9">
        <f>D46/4</f>
        <v>0</v>
      </c>
      <c r="E50" s="39" t="s">
        <v>72</v>
      </c>
      <c r="F50" s="6" t="s">
        <v>135</v>
      </c>
      <c r="G50" s="6"/>
      <c r="H50" s="9" t="e">
        <f>ROUND(3*G47, 2)</f>
        <v>#DIV/0!</v>
      </c>
      <c r="I50" s="6"/>
      <c r="J50" s="26"/>
      <c r="K50" s="6"/>
      <c r="L50" s="6"/>
      <c r="M50" s="6"/>
      <c r="N50" s="6"/>
      <c r="O50" s="7"/>
    </row>
    <row r="51" spans="1:15" x14ac:dyDescent="0.3">
      <c r="A51" s="43"/>
      <c r="B51" s="44"/>
      <c r="C51" s="44"/>
      <c r="D51" s="44"/>
      <c r="E51" s="44"/>
      <c r="F51" s="44"/>
      <c r="G51" s="44"/>
      <c r="H51" s="44"/>
      <c r="I51" s="44"/>
      <c r="J51" s="58"/>
      <c r="K51" s="6"/>
      <c r="L51" s="6"/>
      <c r="M51" s="6"/>
      <c r="N51" s="6"/>
      <c r="O51" s="7"/>
    </row>
    <row r="52" spans="1:15" ht="15" thickBot="1" x14ac:dyDescent="0.3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15" thickBot="1" x14ac:dyDescent="0.35"/>
    <row r="54" spans="1:15" ht="15" thickBot="1" x14ac:dyDescent="0.35">
      <c r="A54" s="78" t="s">
        <v>152</v>
      </c>
      <c r="B54" s="8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1:15" ht="15" thickBot="1" x14ac:dyDescent="0.35">
      <c r="A55" s="5"/>
      <c r="B55" s="6"/>
      <c r="C55" s="6"/>
      <c r="D55" s="6"/>
      <c r="E55" s="6"/>
      <c r="F55" s="6"/>
      <c r="G55" s="6"/>
      <c r="H55" s="6" t="s">
        <v>160</v>
      </c>
      <c r="I55" s="6"/>
      <c r="J55" s="6"/>
      <c r="K55" s="6"/>
      <c r="L55" s="6"/>
      <c r="M55" s="6"/>
      <c r="N55" s="7"/>
    </row>
    <row r="56" spans="1:15" ht="15" thickBot="1" x14ac:dyDescent="0.35">
      <c r="A56" s="5"/>
      <c r="B56" s="85" t="s">
        <v>154</v>
      </c>
      <c r="C56" s="85"/>
      <c r="D56" s="48" t="s">
        <v>3</v>
      </c>
      <c r="E56" s="8"/>
      <c r="F56" s="6" t="s">
        <v>38</v>
      </c>
      <c r="G56" s="6"/>
      <c r="H56" s="28" t="s">
        <v>161</v>
      </c>
      <c r="I56" s="42">
        <f>E59/1000*(E56/1000+E57/1000000)*COS(RADIANS(E60))*1000000</f>
        <v>0</v>
      </c>
      <c r="J56" s="39" t="s">
        <v>162</v>
      </c>
      <c r="K56" s="6"/>
      <c r="L56" s="6"/>
      <c r="M56" s="6"/>
      <c r="N56" s="7"/>
    </row>
    <row r="57" spans="1:15" ht="15" thickBot="1" x14ac:dyDescent="0.35">
      <c r="A57" s="86" t="s">
        <v>155</v>
      </c>
      <c r="B57" s="85"/>
      <c r="C57" s="85"/>
      <c r="D57" s="48" t="s">
        <v>4</v>
      </c>
      <c r="E57" s="8"/>
      <c r="F57" s="39" t="s">
        <v>72</v>
      </c>
      <c r="G57" s="6"/>
      <c r="H57" s="6" t="s">
        <v>170</v>
      </c>
      <c r="I57" s="6"/>
      <c r="J57" s="39"/>
      <c r="K57" s="6"/>
      <c r="L57" s="6"/>
      <c r="M57" s="6"/>
      <c r="N57" s="7"/>
    </row>
    <row r="58" spans="1:15" ht="15" thickBot="1" x14ac:dyDescent="0.35">
      <c r="A58" s="5"/>
      <c r="B58" s="6"/>
      <c r="C58" s="6"/>
      <c r="D58" s="6"/>
      <c r="E58" s="6"/>
      <c r="F58" s="6"/>
      <c r="G58" s="6"/>
      <c r="H58" s="28" t="s">
        <v>163</v>
      </c>
      <c r="I58" s="42">
        <f>2*I56</f>
        <v>0</v>
      </c>
      <c r="J58" s="39" t="s">
        <v>162</v>
      </c>
      <c r="K58" s="6"/>
      <c r="L58" s="6"/>
      <c r="M58" s="6"/>
      <c r="N58" s="7"/>
    </row>
    <row r="59" spans="1:15" x14ac:dyDescent="0.3">
      <c r="A59" s="5"/>
      <c r="B59" s="6"/>
      <c r="C59" s="6"/>
      <c r="D59" s="39" t="s">
        <v>156</v>
      </c>
      <c r="E59" s="6">
        <v>550</v>
      </c>
      <c r="F59" s="6" t="s">
        <v>157</v>
      </c>
      <c r="G59" s="6"/>
      <c r="H59" s="6"/>
      <c r="I59" s="6"/>
      <c r="J59" s="6"/>
      <c r="K59" s="6"/>
      <c r="L59" s="6"/>
      <c r="M59" s="6"/>
      <c r="N59" s="7"/>
    </row>
    <row r="60" spans="1:15" x14ac:dyDescent="0.3">
      <c r="A60" s="5"/>
      <c r="B60" s="6"/>
      <c r="C60" s="6"/>
      <c r="D60" s="39" t="s">
        <v>158</v>
      </c>
      <c r="E60" s="6">
        <v>22</v>
      </c>
      <c r="F60" s="6" t="s">
        <v>159</v>
      </c>
      <c r="G60" s="6"/>
      <c r="H60" s="6"/>
      <c r="I60" s="6"/>
      <c r="J60" s="6"/>
      <c r="K60" s="6"/>
      <c r="L60" s="6"/>
      <c r="M60" s="6"/>
      <c r="N60" s="7"/>
    </row>
    <row r="61" spans="1:15" ht="15" thickBot="1" x14ac:dyDescent="0.3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5" ht="15" thickBot="1" x14ac:dyDescent="0.35"/>
    <row r="63" spans="1:15" ht="15" thickBot="1" x14ac:dyDescent="0.35">
      <c r="A63" s="78" t="s">
        <v>164</v>
      </c>
      <c r="B63" s="79"/>
      <c r="C63" s="80"/>
      <c r="D63" s="3"/>
      <c r="E63" s="3"/>
      <c r="F63" s="3"/>
      <c r="G63" s="3"/>
      <c r="H63" s="3"/>
      <c r="I63" s="3"/>
      <c r="J63" s="4"/>
    </row>
    <row r="64" spans="1:15" x14ac:dyDescent="0.3">
      <c r="A64" s="5"/>
      <c r="B64" s="6"/>
      <c r="C64" s="6"/>
      <c r="D64" s="6"/>
      <c r="E64" s="6"/>
      <c r="F64" s="6"/>
      <c r="G64" s="6"/>
      <c r="H64" s="6"/>
      <c r="I64" s="6"/>
      <c r="J64" s="7"/>
    </row>
    <row r="65" spans="1:10" x14ac:dyDescent="0.3">
      <c r="A65" s="5"/>
      <c r="B65" s="6" t="s">
        <v>165</v>
      </c>
      <c r="C65" s="6"/>
      <c r="D65" s="8"/>
      <c r="E65" s="6" t="s">
        <v>166</v>
      </c>
      <c r="F65" s="6"/>
      <c r="G65" s="6"/>
      <c r="H65" s="6"/>
      <c r="I65" s="6"/>
      <c r="J65" s="7"/>
    </row>
    <row r="66" spans="1:10" x14ac:dyDescent="0.3">
      <c r="A66" s="5"/>
      <c r="B66" s="6" t="s">
        <v>167</v>
      </c>
      <c r="C66" s="6"/>
      <c r="D66" s="8"/>
      <c r="E66" s="6" t="s">
        <v>168</v>
      </c>
      <c r="F66" s="8"/>
      <c r="G66" s="6" t="s">
        <v>38</v>
      </c>
      <c r="H66" s="6"/>
      <c r="I66" s="6"/>
      <c r="J66" s="7"/>
    </row>
    <row r="67" spans="1:10" x14ac:dyDescent="0.3">
      <c r="A67" s="5"/>
      <c r="B67" s="6" t="s">
        <v>169</v>
      </c>
      <c r="C67" s="6"/>
      <c r="D67" s="8"/>
      <c r="E67" s="6"/>
      <c r="F67" s="6"/>
      <c r="G67" s="6"/>
      <c r="H67" s="6"/>
      <c r="I67" s="6"/>
      <c r="J67" s="7"/>
    </row>
    <row r="68" spans="1:10" x14ac:dyDescent="0.3">
      <c r="A68" s="5"/>
      <c r="B68" s="6"/>
      <c r="C68" s="6"/>
      <c r="D68" s="6"/>
      <c r="E68" s="6"/>
      <c r="F68" s="6"/>
      <c r="G68" s="6"/>
      <c r="H68" s="6"/>
      <c r="I68" s="6"/>
      <c r="J68" s="7"/>
    </row>
    <row r="69" spans="1:10" ht="15" thickBot="1" x14ac:dyDescent="0.35">
      <c r="A69" s="5"/>
      <c r="B69" s="6" t="s">
        <v>160</v>
      </c>
      <c r="C69" s="6"/>
      <c r="D69" s="6"/>
      <c r="E69" s="6"/>
      <c r="F69" s="6"/>
      <c r="G69" s="6"/>
      <c r="H69" s="6"/>
      <c r="I69" s="6"/>
      <c r="J69" s="7"/>
    </row>
    <row r="70" spans="1:10" ht="15" thickBot="1" x14ac:dyDescent="0.35">
      <c r="A70" s="5"/>
      <c r="B70" s="28" t="s">
        <v>161</v>
      </c>
      <c r="C70" s="42">
        <f>ROUND(E59/1000*(2*(D66/1000+F66/1000))*COS(RADIANS(E60))*1000, 0)</f>
        <v>0</v>
      </c>
      <c r="D70" s="39" t="s">
        <v>171</v>
      </c>
      <c r="E70" s="6"/>
      <c r="F70" s="6"/>
      <c r="G70" s="6"/>
      <c r="H70" s="6"/>
      <c r="I70" s="6"/>
      <c r="J70" s="7"/>
    </row>
    <row r="71" spans="1:10" ht="15" thickBot="1" x14ac:dyDescent="0.35">
      <c r="A71" s="5"/>
      <c r="B71" s="6" t="s">
        <v>170</v>
      </c>
      <c r="C71" s="6"/>
      <c r="D71" s="6"/>
      <c r="E71" s="6"/>
      <c r="F71" s="6"/>
      <c r="G71" s="6"/>
      <c r="H71" s="6"/>
      <c r="I71" s="6"/>
      <c r="J71" s="7"/>
    </row>
    <row r="72" spans="1:10" ht="15" thickBot="1" x14ac:dyDescent="0.35">
      <c r="A72" s="5"/>
      <c r="B72" s="28" t="s">
        <v>177</v>
      </c>
      <c r="C72" s="42">
        <f>D67*C70</f>
        <v>0</v>
      </c>
      <c r="D72" s="39" t="s">
        <v>171</v>
      </c>
      <c r="E72" s="6" t="s">
        <v>174</v>
      </c>
      <c r="F72" s="6"/>
      <c r="G72" s="6"/>
      <c r="H72" s="6"/>
      <c r="I72" s="6"/>
      <c r="J72" s="7"/>
    </row>
    <row r="73" spans="1:10" ht="15" thickBot="1" x14ac:dyDescent="0.35">
      <c r="A73" s="5"/>
      <c r="B73" s="48" t="s">
        <v>172</v>
      </c>
      <c r="C73" s="6"/>
      <c r="D73" s="6"/>
      <c r="E73" s="39" t="s">
        <v>176</v>
      </c>
      <c r="F73" s="6" t="s">
        <v>179</v>
      </c>
      <c r="G73" s="6"/>
      <c r="H73" s="6"/>
      <c r="I73" s="6"/>
      <c r="J73" s="7"/>
    </row>
    <row r="74" spans="1:10" ht="15" thickBot="1" x14ac:dyDescent="0.35">
      <c r="A74" s="5"/>
      <c r="B74" s="67" t="s">
        <v>173</v>
      </c>
      <c r="C74" s="42">
        <f>D65*9.81</f>
        <v>0</v>
      </c>
      <c r="D74" s="6" t="s">
        <v>171</v>
      </c>
      <c r="E74" s="6" t="s">
        <v>175</v>
      </c>
      <c r="F74" s="6" t="s">
        <v>178</v>
      </c>
      <c r="G74" s="6"/>
      <c r="H74" s="6"/>
      <c r="I74" s="6"/>
      <c r="J74" s="7"/>
    </row>
    <row r="75" spans="1:10" ht="15" thickBot="1" x14ac:dyDescent="0.35">
      <c r="A75" s="10"/>
      <c r="B75" s="11"/>
      <c r="C75" s="11"/>
      <c r="D75" s="11"/>
      <c r="E75" s="11"/>
      <c r="F75" s="11"/>
      <c r="G75" s="11"/>
      <c r="H75" s="11"/>
      <c r="I75" s="11"/>
      <c r="J75" s="12"/>
    </row>
    <row r="76" spans="1:10" ht="15" thickBot="1" x14ac:dyDescent="0.35"/>
    <row r="77" spans="1:10" ht="15" thickBot="1" x14ac:dyDescent="0.35">
      <c r="A77" s="78" t="s">
        <v>180</v>
      </c>
      <c r="B77" s="80"/>
      <c r="C77" s="3"/>
      <c r="D77" s="3"/>
      <c r="E77" s="3"/>
      <c r="F77" s="3"/>
      <c r="G77" s="3"/>
      <c r="H77" s="3"/>
      <c r="I77" s="3"/>
      <c r="J77" s="4"/>
    </row>
    <row r="78" spans="1:10" x14ac:dyDescent="0.3">
      <c r="A78" s="5"/>
      <c r="B78" s="6"/>
      <c r="C78" s="6"/>
      <c r="D78" s="6"/>
      <c r="E78" s="6"/>
      <c r="F78" s="6"/>
      <c r="G78" s="6"/>
      <c r="H78" s="6"/>
      <c r="I78" s="6"/>
      <c r="J78" s="7"/>
    </row>
    <row r="79" spans="1:10" x14ac:dyDescent="0.3">
      <c r="A79" s="5"/>
      <c r="B79" s="6"/>
      <c r="C79" s="6"/>
      <c r="D79" s="6"/>
      <c r="E79" s="6"/>
      <c r="F79" s="6"/>
      <c r="G79" s="6" t="s">
        <v>181</v>
      </c>
      <c r="H79" s="8"/>
      <c r="I79" s="6" t="s">
        <v>182</v>
      </c>
      <c r="J79" s="7"/>
    </row>
    <row r="80" spans="1:10" x14ac:dyDescent="0.3">
      <c r="A80" s="5"/>
      <c r="B80" s="6"/>
      <c r="C80" s="6"/>
      <c r="D80" s="6"/>
      <c r="E80" s="6"/>
      <c r="F80" s="6"/>
      <c r="G80" s="6" t="s">
        <v>183</v>
      </c>
      <c r="H80" s="8"/>
      <c r="I80" s="6" t="s">
        <v>184</v>
      </c>
      <c r="J80" s="7"/>
    </row>
    <row r="81" spans="1:10" x14ac:dyDescent="0.3">
      <c r="A81" s="5"/>
      <c r="B81" s="6"/>
      <c r="C81" s="6"/>
      <c r="D81" s="6"/>
      <c r="E81" s="6"/>
      <c r="F81" s="6"/>
      <c r="G81" s="6" t="s">
        <v>185</v>
      </c>
      <c r="H81" s="8"/>
      <c r="I81" s="6" t="s">
        <v>184</v>
      </c>
      <c r="J81" s="7"/>
    </row>
    <row r="82" spans="1:10" x14ac:dyDescent="0.3">
      <c r="A82" s="5"/>
      <c r="B82" s="6"/>
      <c r="C82" s="6"/>
      <c r="D82" s="6"/>
      <c r="E82" s="6"/>
      <c r="F82" s="94" t="s">
        <v>186</v>
      </c>
      <c r="G82" s="94"/>
      <c r="H82" s="8"/>
      <c r="I82" s="6" t="s">
        <v>187</v>
      </c>
      <c r="J82" s="7"/>
    </row>
    <row r="83" spans="1:10" x14ac:dyDescent="0.3">
      <c r="A83" s="5"/>
      <c r="B83" s="6"/>
      <c r="C83" s="6"/>
      <c r="D83" s="6"/>
      <c r="E83" s="6"/>
      <c r="F83" s="94" t="s">
        <v>188</v>
      </c>
      <c r="G83" s="94"/>
      <c r="H83" s="8"/>
      <c r="I83" s="6" t="s">
        <v>187</v>
      </c>
      <c r="J83" s="7"/>
    </row>
    <row r="84" spans="1:10" x14ac:dyDescent="0.3">
      <c r="A84" s="5"/>
      <c r="B84" s="6"/>
      <c r="C84" s="6"/>
      <c r="D84" s="6"/>
      <c r="E84" s="6"/>
      <c r="F84" s="6"/>
      <c r="G84" s="6"/>
      <c r="H84" s="6"/>
      <c r="I84" s="6"/>
      <c r="J84" s="7"/>
    </row>
    <row r="85" spans="1:10" x14ac:dyDescent="0.3">
      <c r="A85" s="5"/>
      <c r="B85" s="6"/>
      <c r="C85" s="6"/>
      <c r="D85" s="6"/>
      <c r="E85" s="6"/>
      <c r="F85" s="6"/>
      <c r="G85" s="6"/>
      <c r="H85" s="6"/>
      <c r="I85" s="6"/>
      <c r="J85" s="7"/>
    </row>
    <row r="86" spans="1:10" x14ac:dyDescent="0.3">
      <c r="A86" s="5"/>
      <c r="B86" s="6"/>
      <c r="C86" s="6"/>
      <c r="D86" s="6"/>
      <c r="E86" s="6"/>
      <c r="F86" s="6"/>
      <c r="G86" s="6"/>
      <c r="H86" s="6"/>
      <c r="I86" s="6"/>
      <c r="J86" s="7"/>
    </row>
    <row r="87" spans="1:10" x14ac:dyDescent="0.3">
      <c r="A87" s="5"/>
      <c r="B87" s="6" t="s">
        <v>189</v>
      </c>
      <c r="C87" s="6"/>
      <c r="D87" s="9" t="e">
        <f>(H81-H80)/H82</f>
        <v>#DIV/0!</v>
      </c>
      <c r="E87" s="6" t="s">
        <v>182</v>
      </c>
      <c r="F87" s="6"/>
      <c r="G87" s="6"/>
      <c r="H87" s="6"/>
      <c r="I87" s="6"/>
      <c r="J87" s="7"/>
    </row>
    <row r="88" spans="1:10" x14ac:dyDescent="0.3">
      <c r="A88" s="5"/>
      <c r="B88" s="6" t="s">
        <v>190</v>
      </c>
      <c r="C88" s="6"/>
      <c r="D88" s="9" t="e">
        <f>(H81-H80)/H83</f>
        <v>#DIV/0!</v>
      </c>
      <c r="E88" s="6" t="s">
        <v>182</v>
      </c>
      <c r="F88" s="6"/>
      <c r="G88" s="6"/>
      <c r="H88" s="6"/>
      <c r="I88" s="6"/>
      <c r="J88" s="7"/>
    </row>
    <row r="89" spans="1:10" x14ac:dyDescent="0.3">
      <c r="A89" s="5"/>
      <c r="B89" s="6"/>
      <c r="C89" s="6"/>
      <c r="D89" s="6"/>
      <c r="E89" s="6"/>
      <c r="F89" s="6"/>
      <c r="G89" s="6"/>
      <c r="H89" s="6"/>
      <c r="I89" s="6"/>
      <c r="J89" s="7"/>
    </row>
    <row r="90" spans="1:10" x14ac:dyDescent="0.3">
      <c r="A90" s="5"/>
      <c r="B90" s="6" t="s">
        <v>191</v>
      </c>
      <c r="C90" s="6"/>
      <c r="D90" s="6"/>
      <c r="E90" s="6"/>
      <c r="F90" s="6"/>
      <c r="G90" s="6"/>
      <c r="H90" s="6"/>
      <c r="I90" s="6"/>
      <c r="J90" s="7"/>
    </row>
    <row r="91" spans="1:10" x14ac:dyDescent="0.3">
      <c r="A91" s="5"/>
      <c r="B91" s="6"/>
      <c r="C91" s="6" t="s">
        <v>192</v>
      </c>
      <c r="D91" s="9" t="e">
        <f>(2*H79-D87-D88)/2*(H81-H80)</f>
        <v>#DIV/0!</v>
      </c>
      <c r="E91" s="6" t="s">
        <v>193</v>
      </c>
      <c r="F91" s="9" t="e">
        <f>MROUND(D91, 10)</f>
        <v>#DIV/0!</v>
      </c>
      <c r="G91" s="6" t="s">
        <v>194</v>
      </c>
      <c r="H91" s="6"/>
      <c r="I91" s="6"/>
      <c r="J91" s="7"/>
    </row>
    <row r="92" spans="1:10" ht="15" thickBot="1" x14ac:dyDescent="0.35">
      <c r="A92" s="10"/>
      <c r="B92" s="11"/>
      <c r="C92" s="11"/>
      <c r="D92" s="11"/>
      <c r="E92" s="11"/>
      <c r="F92" s="11"/>
      <c r="G92" s="11"/>
      <c r="H92" s="11"/>
      <c r="I92" s="11"/>
      <c r="J92" s="12"/>
    </row>
  </sheetData>
  <mergeCells count="14">
    <mergeCell ref="B20:C20"/>
    <mergeCell ref="F82:G82"/>
    <mergeCell ref="F83:G83"/>
    <mergeCell ref="A44:C44"/>
    <mergeCell ref="A54:B54"/>
    <mergeCell ref="A57:C57"/>
    <mergeCell ref="B56:C56"/>
    <mergeCell ref="A63:C63"/>
    <mergeCell ref="A77:B77"/>
    <mergeCell ref="L18:O19"/>
    <mergeCell ref="B5:C5"/>
    <mergeCell ref="B11:C11"/>
    <mergeCell ref="I8:J9"/>
    <mergeCell ref="I15:J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015F-8EF1-4D47-9AB1-2DA95C22FD45}">
  <dimension ref="A1:I72"/>
  <sheetViews>
    <sheetView workbookViewId="0">
      <selection activeCell="H59" sqref="H59"/>
    </sheetView>
  </sheetViews>
  <sheetFormatPr defaultRowHeight="14.4" x14ac:dyDescent="0.3"/>
  <cols>
    <col min="3" max="5" width="12.44140625" bestFit="1" customWidth="1"/>
    <col min="7" max="7" width="12.44140625" bestFit="1" customWidth="1"/>
  </cols>
  <sheetData>
    <row r="1" spans="1:9" ht="15" thickBot="1" x14ac:dyDescent="0.35">
      <c r="A1" s="78" t="s">
        <v>195</v>
      </c>
      <c r="B1" s="80"/>
      <c r="C1" s="3"/>
      <c r="D1" s="3"/>
      <c r="E1" s="3"/>
      <c r="F1" s="3"/>
      <c r="G1" s="3"/>
      <c r="H1" s="3"/>
      <c r="I1" s="4"/>
    </row>
    <row r="2" spans="1:9" x14ac:dyDescent="0.3">
      <c r="A2" s="5"/>
      <c r="B2" s="6"/>
      <c r="C2" s="6" t="s">
        <v>198</v>
      </c>
      <c r="D2" s="6"/>
      <c r="E2" s="6" t="s">
        <v>199</v>
      </c>
      <c r="F2" s="6"/>
      <c r="G2" s="6"/>
      <c r="H2" s="6"/>
      <c r="I2" s="7"/>
    </row>
    <row r="3" spans="1:9" x14ac:dyDescent="0.3">
      <c r="A3" s="5"/>
      <c r="B3" s="6" t="s">
        <v>196</v>
      </c>
      <c r="C3" s="8"/>
      <c r="D3" s="6" t="s">
        <v>168</v>
      </c>
      <c r="E3" s="8"/>
      <c r="F3" s="6" t="s">
        <v>38</v>
      </c>
      <c r="G3" s="6"/>
      <c r="H3" s="6"/>
      <c r="I3" s="7"/>
    </row>
    <row r="4" spans="1:9" x14ac:dyDescent="0.3">
      <c r="A4" s="5"/>
      <c r="B4" s="6" t="s">
        <v>197</v>
      </c>
      <c r="C4" s="8"/>
      <c r="D4" s="6" t="s">
        <v>168</v>
      </c>
      <c r="E4" s="8"/>
      <c r="F4" s="6"/>
      <c r="G4" s="6"/>
      <c r="H4" s="6"/>
      <c r="I4" s="7"/>
    </row>
    <row r="5" spans="1:9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5" thickBot="1" x14ac:dyDescent="0.35">
      <c r="A6" s="5"/>
      <c r="B6" s="81" t="s">
        <v>200</v>
      </c>
      <c r="C6" s="85"/>
      <c r="D6" s="85"/>
      <c r="E6" s="6" t="s">
        <v>198</v>
      </c>
      <c r="F6" s="6"/>
      <c r="G6" s="6" t="s">
        <v>199</v>
      </c>
      <c r="H6" s="6"/>
      <c r="I6" s="7"/>
    </row>
    <row r="7" spans="1:9" ht="15" thickBot="1" x14ac:dyDescent="0.35">
      <c r="A7" s="5"/>
      <c r="B7" s="85"/>
      <c r="C7" s="85"/>
      <c r="D7" s="85"/>
      <c r="E7" s="68" t="e">
        <f>ROUND(C3/C4*1000, 0)</f>
        <v>#DIV/0!</v>
      </c>
      <c r="F7" s="36" t="s">
        <v>168</v>
      </c>
      <c r="G7" s="42" t="e">
        <f>ROUND(E3/E4*1000, 0)</f>
        <v>#DIV/0!</v>
      </c>
      <c r="H7" s="39" t="s">
        <v>72</v>
      </c>
      <c r="I7" s="7"/>
    </row>
    <row r="8" spans="1:9" x14ac:dyDescent="0.3">
      <c r="A8" s="5"/>
      <c r="B8" s="6"/>
      <c r="C8" s="6"/>
      <c r="D8" s="6"/>
      <c r="E8" s="6"/>
      <c r="F8" s="6"/>
      <c r="G8" s="6"/>
      <c r="H8" s="6"/>
      <c r="I8" s="7"/>
    </row>
    <row r="9" spans="1:9" x14ac:dyDescent="0.3">
      <c r="A9" s="5"/>
      <c r="B9" s="23" t="s">
        <v>7</v>
      </c>
      <c r="C9" s="21" t="s">
        <v>201</v>
      </c>
      <c r="D9" s="63" t="s">
        <v>202</v>
      </c>
      <c r="E9" s="6"/>
      <c r="F9" s="6"/>
      <c r="G9" s="6"/>
      <c r="H9" s="6"/>
      <c r="I9" s="7"/>
    </row>
    <row r="10" spans="1:9" x14ac:dyDescent="0.3">
      <c r="A10" s="5"/>
      <c r="B10" s="24" t="s">
        <v>12</v>
      </c>
      <c r="C10" s="6">
        <v>1</v>
      </c>
      <c r="D10" s="26">
        <v>0.5</v>
      </c>
      <c r="E10" s="6" t="s">
        <v>204</v>
      </c>
      <c r="F10" s="6"/>
      <c r="G10" s="6"/>
      <c r="H10" s="6"/>
      <c r="I10" s="7"/>
    </row>
    <row r="11" spans="1:9" x14ac:dyDescent="0.3">
      <c r="A11" s="5"/>
      <c r="B11" s="24" t="s">
        <v>13</v>
      </c>
      <c r="C11" s="6">
        <v>1.5</v>
      </c>
      <c r="D11" s="26">
        <v>0.8</v>
      </c>
      <c r="E11" s="6"/>
      <c r="F11" s="6"/>
      <c r="G11" s="6"/>
      <c r="H11" s="6"/>
      <c r="I11" s="7"/>
    </row>
    <row r="12" spans="1:9" x14ac:dyDescent="0.3">
      <c r="A12" s="5"/>
      <c r="B12" s="24" t="s">
        <v>14</v>
      </c>
      <c r="C12" s="6">
        <v>2</v>
      </c>
      <c r="D12" s="26">
        <v>1.25</v>
      </c>
      <c r="E12" s="6"/>
      <c r="F12" s="6"/>
      <c r="G12" s="6"/>
      <c r="H12" s="6"/>
      <c r="I12" s="7"/>
    </row>
    <row r="13" spans="1:9" x14ac:dyDescent="0.3">
      <c r="A13" s="5"/>
      <c r="B13" s="24" t="s">
        <v>15</v>
      </c>
      <c r="C13" s="6">
        <v>3.2</v>
      </c>
      <c r="D13" s="26">
        <v>1.6</v>
      </c>
      <c r="E13" s="6"/>
      <c r="F13" s="6"/>
      <c r="G13" s="6"/>
      <c r="H13" s="6"/>
      <c r="I13" s="7"/>
    </row>
    <row r="14" spans="1:9" x14ac:dyDescent="0.3">
      <c r="A14" s="5"/>
      <c r="B14" s="64" t="s">
        <v>16</v>
      </c>
      <c r="C14" s="44">
        <v>0.6</v>
      </c>
      <c r="D14" s="58">
        <v>0.3</v>
      </c>
      <c r="E14" s="6"/>
      <c r="F14" s="6"/>
      <c r="G14" s="6"/>
      <c r="H14" s="6"/>
      <c r="I14" s="7"/>
    </row>
    <row r="15" spans="1:9" ht="15" thickBot="1" x14ac:dyDescent="0.3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5" thickBot="1" x14ac:dyDescent="0.35"/>
    <row r="17" spans="1:7" ht="15" thickBot="1" x14ac:dyDescent="0.35">
      <c r="A17" s="78" t="s">
        <v>205</v>
      </c>
      <c r="B17" s="80"/>
      <c r="C17" s="3"/>
      <c r="D17" s="3"/>
      <c r="E17" s="3"/>
      <c r="F17" s="3"/>
      <c r="G17" s="4"/>
    </row>
    <row r="18" spans="1:7" x14ac:dyDescent="0.3">
      <c r="A18" s="5"/>
      <c r="B18" s="6"/>
      <c r="C18" s="6"/>
      <c r="D18" s="6"/>
      <c r="E18" s="6"/>
      <c r="F18" s="6"/>
      <c r="G18" s="7"/>
    </row>
    <row r="19" spans="1:7" x14ac:dyDescent="0.3">
      <c r="A19" s="66" t="s">
        <v>32</v>
      </c>
      <c r="B19" s="6" t="s">
        <v>206</v>
      </c>
      <c r="C19" s="6"/>
      <c r="D19" s="8"/>
      <c r="E19" s="6" t="s">
        <v>171</v>
      </c>
      <c r="F19" s="6"/>
      <c r="G19" s="7"/>
    </row>
    <row r="20" spans="1:7" x14ac:dyDescent="0.3">
      <c r="A20" s="5"/>
      <c r="B20" s="6" t="s">
        <v>207</v>
      </c>
      <c r="C20" s="6"/>
      <c r="D20" s="8"/>
      <c r="E20" s="6" t="s">
        <v>159</v>
      </c>
      <c r="F20" s="6"/>
      <c r="G20" s="7"/>
    </row>
    <row r="21" spans="1:7" x14ac:dyDescent="0.3">
      <c r="A21" s="5"/>
      <c r="B21" s="6"/>
      <c r="C21" s="6" t="s">
        <v>208</v>
      </c>
      <c r="D21" s="8"/>
      <c r="E21" s="6" t="s">
        <v>168</v>
      </c>
      <c r="F21" s="8"/>
      <c r="G21" s="7" t="s">
        <v>38</v>
      </c>
    </row>
    <row r="22" spans="1:7" ht="15" thickBot="1" x14ac:dyDescent="0.35">
      <c r="A22" s="5"/>
      <c r="B22" s="6"/>
      <c r="C22" s="6"/>
      <c r="D22" s="6"/>
      <c r="E22" s="6"/>
      <c r="F22" s="6"/>
      <c r="G22" s="7"/>
    </row>
    <row r="23" spans="1:7" ht="15" thickBot="1" x14ac:dyDescent="0.35">
      <c r="A23" s="5"/>
      <c r="B23" s="70" t="s">
        <v>156</v>
      </c>
      <c r="C23" s="42" t="e">
        <f>D19/(2*(D21+F21)/1000*COS(RADIANS(D20)))</f>
        <v>#DIV/0!</v>
      </c>
      <c r="D23" s="6" t="s">
        <v>157</v>
      </c>
      <c r="E23" s="6"/>
      <c r="F23" s="6"/>
      <c r="G23" s="7"/>
    </row>
    <row r="24" spans="1:7" x14ac:dyDescent="0.3">
      <c r="A24" s="5"/>
      <c r="B24" s="6"/>
      <c r="C24" s="6"/>
      <c r="D24" s="6"/>
      <c r="E24" s="6"/>
      <c r="F24" s="6"/>
      <c r="G24" s="7"/>
    </row>
    <row r="25" spans="1:7" x14ac:dyDescent="0.3">
      <c r="A25" s="5"/>
      <c r="B25" s="6"/>
      <c r="C25" s="6"/>
      <c r="D25" s="6"/>
      <c r="E25" s="6"/>
      <c r="F25" s="6"/>
      <c r="G25" s="7"/>
    </row>
    <row r="26" spans="1:7" x14ac:dyDescent="0.3">
      <c r="A26" s="5"/>
      <c r="B26" s="6"/>
      <c r="C26" s="6"/>
      <c r="D26" s="6"/>
      <c r="E26" s="6"/>
      <c r="F26" s="6"/>
      <c r="G26" s="7"/>
    </row>
    <row r="27" spans="1:7" x14ac:dyDescent="0.3">
      <c r="A27" s="43"/>
      <c r="B27" s="44"/>
      <c r="C27" s="44"/>
      <c r="D27" s="44"/>
      <c r="E27" s="44"/>
      <c r="F27" s="44"/>
      <c r="G27" s="69"/>
    </row>
    <row r="28" spans="1:7" x14ac:dyDescent="0.3">
      <c r="A28" s="5"/>
      <c r="B28" s="6"/>
      <c r="C28" s="6"/>
      <c r="D28" s="6"/>
      <c r="E28" s="6"/>
      <c r="F28" s="6"/>
      <c r="G28" s="7"/>
    </row>
    <row r="29" spans="1:7" x14ac:dyDescent="0.3">
      <c r="A29" s="66" t="s">
        <v>33</v>
      </c>
      <c r="B29" s="6"/>
      <c r="C29" s="6" t="s">
        <v>209</v>
      </c>
      <c r="D29" s="8"/>
      <c r="E29" s="6" t="s">
        <v>171</v>
      </c>
      <c r="F29" s="6"/>
      <c r="G29" s="7"/>
    </row>
    <row r="30" spans="1:7" x14ac:dyDescent="0.3">
      <c r="A30" s="5"/>
      <c r="B30" s="6"/>
      <c r="C30" s="6" t="s">
        <v>208</v>
      </c>
      <c r="D30" s="8"/>
      <c r="E30" s="6" t="s">
        <v>168</v>
      </c>
      <c r="F30" s="8"/>
      <c r="G30" s="7" t="s">
        <v>38</v>
      </c>
    </row>
    <row r="31" spans="1:7" x14ac:dyDescent="0.3">
      <c r="A31" s="5"/>
      <c r="B31" s="6" t="s">
        <v>210</v>
      </c>
      <c r="C31" s="6"/>
      <c r="D31" s="8"/>
      <c r="E31" s="6" t="s">
        <v>38</v>
      </c>
      <c r="F31" s="6"/>
      <c r="G31" s="7"/>
    </row>
    <row r="32" spans="1:7" x14ac:dyDescent="0.3">
      <c r="A32" s="5"/>
      <c r="B32" s="6" t="s">
        <v>211</v>
      </c>
      <c r="C32" s="6"/>
      <c r="D32" s="8"/>
      <c r="E32" s="6" t="s">
        <v>212</v>
      </c>
      <c r="F32" s="6"/>
      <c r="G32" s="7"/>
    </row>
    <row r="33" spans="1:7" x14ac:dyDescent="0.3">
      <c r="A33" s="5"/>
      <c r="B33" s="6" t="s">
        <v>207</v>
      </c>
      <c r="C33" s="6"/>
      <c r="D33" s="8"/>
      <c r="E33" s="6" t="s">
        <v>159</v>
      </c>
      <c r="F33" s="6"/>
      <c r="G33" s="7"/>
    </row>
    <row r="34" spans="1:7" x14ac:dyDescent="0.3">
      <c r="A34" s="5"/>
      <c r="B34" s="6"/>
      <c r="C34" s="6"/>
      <c r="D34" s="6"/>
      <c r="E34" s="6"/>
      <c r="F34" s="6"/>
      <c r="G34" s="7"/>
    </row>
    <row r="35" spans="1:7" x14ac:dyDescent="0.3">
      <c r="A35" s="5"/>
      <c r="B35" s="6" t="s">
        <v>213</v>
      </c>
      <c r="C35" s="6"/>
      <c r="D35" s="6"/>
      <c r="E35" s="6"/>
      <c r="F35" s="6"/>
      <c r="G35" s="7"/>
    </row>
    <row r="36" spans="1:7" x14ac:dyDescent="0.3">
      <c r="A36" s="5"/>
      <c r="B36" s="6" t="s">
        <v>214</v>
      </c>
      <c r="C36" s="9">
        <f>D32*9.81*D31*D30*F30*0.000000001*1000</f>
        <v>0</v>
      </c>
      <c r="D36" s="6" t="s">
        <v>171</v>
      </c>
      <c r="E36" s="6"/>
      <c r="F36" s="6"/>
      <c r="G36" s="7"/>
    </row>
    <row r="37" spans="1:7" x14ac:dyDescent="0.3">
      <c r="A37" s="5"/>
      <c r="B37" s="6" t="s">
        <v>215</v>
      </c>
      <c r="C37" s="9">
        <f>C36+D29</f>
        <v>0</v>
      </c>
      <c r="D37" s="6" t="s">
        <v>171</v>
      </c>
      <c r="E37" s="6"/>
      <c r="F37" s="6"/>
      <c r="G37" s="7"/>
    </row>
    <row r="38" spans="1:7" ht="15" thickBot="1" x14ac:dyDescent="0.35">
      <c r="A38" s="5"/>
      <c r="B38" s="6"/>
      <c r="C38" s="6"/>
      <c r="D38" s="6"/>
      <c r="E38" s="6"/>
      <c r="F38" s="6"/>
      <c r="G38" s="7"/>
    </row>
    <row r="39" spans="1:7" ht="15" thickBot="1" x14ac:dyDescent="0.35">
      <c r="A39" s="5"/>
      <c r="B39" s="70" t="s">
        <v>156</v>
      </c>
      <c r="C39" s="42" t="e">
        <f>C37/(2*(F30+D30)/1000*COS(RADIANS(D33)))</f>
        <v>#DIV/0!</v>
      </c>
      <c r="D39" s="6" t="s">
        <v>157</v>
      </c>
      <c r="E39" s="6"/>
      <c r="F39" s="6"/>
      <c r="G39" s="7"/>
    </row>
    <row r="40" spans="1:7" ht="15" thickBot="1" x14ac:dyDescent="0.35">
      <c r="A40" s="10"/>
      <c r="B40" s="11"/>
      <c r="C40" s="11"/>
      <c r="D40" s="11"/>
      <c r="E40" s="11"/>
      <c r="F40" s="11"/>
      <c r="G40" s="12"/>
    </row>
    <row r="41" spans="1:7" ht="15" thickBot="1" x14ac:dyDescent="0.35"/>
    <row r="42" spans="1:7" ht="15" thickBot="1" x14ac:dyDescent="0.35">
      <c r="A42" s="78" t="s">
        <v>216</v>
      </c>
      <c r="B42" s="80"/>
      <c r="C42" s="3"/>
      <c r="D42" s="3"/>
      <c r="E42" s="4"/>
    </row>
    <row r="43" spans="1:7" x14ac:dyDescent="0.3">
      <c r="A43" s="5"/>
      <c r="B43" s="6"/>
      <c r="C43" s="6"/>
      <c r="D43" s="6"/>
      <c r="E43" s="7"/>
    </row>
    <row r="44" spans="1:7" x14ac:dyDescent="0.3">
      <c r="A44" s="5"/>
      <c r="B44" s="39" t="s">
        <v>217</v>
      </c>
      <c r="C44" s="6"/>
      <c r="D44" s="8"/>
      <c r="E44" s="7" t="s">
        <v>91</v>
      </c>
    </row>
    <row r="45" spans="1:7" x14ac:dyDescent="0.3">
      <c r="A45" s="5"/>
      <c r="B45" s="6" t="s">
        <v>218</v>
      </c>
      <c r="C45" s="6"/>
      <c r="D45" s="8"/>
      <c r="E45" s="7" t="s">
        <v>222</v>
      </c>
    </row>
    <row r="46" spans="1:7" x14ac:dyDescent="0.3">
      <c r="A46" s="5"/>
      <c r="B46" s="6"/>
      <c r="C46" s="6"/>
      <c r="D46" s="6"/>
      <c r="E46" s="7"/>
    </row>
    <row r="47" spans="1:7" ht="15" thickBot="1" x14ac:dyDescent="0.35">
      <c r="A47" s="5"/>
      <c r="B47" s="6" t="s">
        <v>219</v>
      </c>
      <c r="C47" s="6"/>
      <c r="D47" s="6"/>
      <c r="E47" s="7"/>
    </row>
    <row r="48" spans="1:7" ht="15" thickBot="1" x14ac:dyDescent="0.35">
      <c r="A48" s="5"/>
      <c r="B48" s="28" t="s">
        <v>220</v>
      </c>
      <c r="C48" s="42" t="e">
        <f>D45*1000000/(D44*0.01)/1000000000</f>
        <v>#DIV/0!</v>
      </c>
      <c r="D48" s="6" t="s">
        <v>221</v>
      </c>
      <c r="E48" s="7"/>
    </row>
    <row r="49" spans="1:9" ht="15" thickBot="1" x14ac:dyDescent="0.35">
      <c r="A49" s="10"/>
      <c r="B49" s="11"/>
      <c r="C49" s="11"/>
      <c r="D49" s="11"/>
      <c r="E49" s="12"/>
    </row>
    <row r="50" spans="1:9" ht="15" thickBot="1" x14ac:dyDescent="0.35"/>
    <row r="51" spans="1:9" ht="15" thickBot="1" x14ac:dyDescent="0.35">
      <c r="A51" s="78" t="s">
        <v>223</v>
      </c>
      <c r="B51" s="79"/>
      <c r="C51" s="80"/>
      <c r="D51" s="3"/>
      <c r="E51" s="3"/>
      <c r="F51" s="3"/>
      <c r="G51" s="3"/>
      <c r="H51" s="3"/>
      <c r="I51" s="4"/>
    </row>
    <row r="52" spans="1:9" x14ac:dyDescent="0.3">
      <c r="A52" s="5"/>
      <c r="B52" s="6"/>
      <c r="C52" s="6"/>
      <c r="D52" s="6"/>
      <c r="E52" s="6"/>
      <c r="F52" s="6"/>
      <c r="G52" s="6"/>
      <c r="H52" s="6"/>
      <c r="I52" s="7"/>
    </row>
    <row r="53" spans="1:9" x14ac:dyDescent="0.3">
      <c r="A53" s="5"/>
      <c r="B53" s="6" t="s">
        <v>224</v>
      </c>
      <c r="C53" s="6"/>
      <c r="D53" s="8">
        <v>82</v>
      </c>
      <c r="E53" s="6" t="s">
        <v>171</v>
      </c>
      <c r="F53" s="6"/>
      <c r="G53" s="6"/>
      <c r="H53" s="6"/>
      <c r="I53" s="7"/>
    </row>
    <row r="54" spans="1:9" x14ac:dyDescent="0.3">
      <c r="A54" s="5"/>
      <c r="B54" s="6" t="s">
        <v>225</v>
      </c>
      <c r="C54" s="6"/>
      <c r="D54" s="8">
        <v>6.53</v>
      </c>
      <c r="E54" s="6" t="s">
        <v>38</v>
      </c>
      <c r="F54" s="6"/>
      <c r="G54" s="6"/>
      <c r="H54" s="6"/>
      <c r="I54" s="7"/>
    </row>
    <row r="55" spans="1:9" x14ac:dyDescent="0.3">
      <c r="A55" s="5"/>
      <c r="B55" s="6" t="s">
        <v>226</v>
      </c>
      <c r="C55" s="6"/>
      <c r="D55" s="8">
        <v>5</v>
      </c>
      <c r="E55" s="6" t="s">
        <v>38</v>
      </c>
      <c r="F55" s="6"/>
      <c r="G55" s="6"/>
      <c r="H55" s="6"/>
      <c r="I55" s="7"/>
    </row>
    <row r="56" spans="1:9" x14ac:dyDescent="0.3">
      <c r="A56" s="5"/>
      <c r="B56" s="6" t="s">
        <v>227</v>
      </c>
      <c r="C56" s="6"/>
      <c r="D56" s="8">
        <v>25</v>
      </c>
      <c r="E56" s="6" t="s">
        <v>72</v>
      </c>
      <c r="F56" s="39" t="s">
        <v>158</v>
      </c>
      <c r="G56" s="9">
        <f>DEGREES(ACOS(D55/D54))</f>
        <v>40.030979099567446</v>
      </c>
      <c r="H56" s="6" t="s">
        <v>159</v>
      </c>
      <c r="I56" s="7"/>
    </row>
    <row r="57" spans="1:9" x14ac:dyDescent="0.3">
      <c r="A57" s="5"/>
      <c r="B57" s="6"/>
      <c r="C57" s="6"/>
      <c r="D57" s="6"/>
      <c r="E57" s="6"/>
      <c r="F57" s="6"/>
      <c r="G57" s="6"/>
      <c r="H57" s="6"/>
      <c r="I57" s="7"/>
    </row>
    <row r="58" spans="1:9" x14ac:dyDescent="0.3">
      <c r="A58" s="5"/>
      <c r="B58" s="6" t="s">
        <v>228</v>
      </c>
      <c r="C58" s="9">
        <f>D53/(2*SIN(RADIANS(G56)))</f>
        <v>63.743612003427678</v>
      </c>
      <c r="D58" s="6" t="s">
        <v>171</v>
      </c>
      <c r="E58" s="6"/>
      <c r="F58" s="6"/>
      <c r="G58" s="6"/>
      <c r="H58" s="6"/>
      <c r="I58" s="7"/>
    </row>
    <row r="59" spans="1:9" x14ac:dyDescent="0.3">
      <c r="A59" s="5"/>
      <c r="B59" s="6"/>
      <c r="C59" s="6"/>
      <c r="D59" s="6"/>
      <c r="E59" s="6"/>
      <c r="F59" s="6"/>
      <c r="G59" s="6"/>
      <c r="H59" s="6"/>
      <c r="I59" s="7"/>
    </row>
    <row r="60" spans="1:9" ht="15" thickBot="1" x14ac:dyDescent="0.35">
      <c r="A60" s="5"/>
      <c r="B60" s="6" t="s">
        <v>229</v>
      </c>
      <c r="C60" s="6"/>
      <c r="D60" s="6"/>
      <c r="E60" s="6"/>
      <c r="F60" s="6"/>
      <c r="G60" s="6"/>
      <c r="H60" s="6"/>
      <c r="I60" s="7"/>
    </row>
    <row r="61" spans="1:9" ht="15" thickBot="1" x14ac:dyDescent="0.35">
      <c r="A61" s="5"/>
      <c r="B61" s="70" t="s">
        <v>230</v>
      </c>
      <c r="C61" s="42">
        <f>C58/(POWER(D56/2, 2)*3.14)*1000</f>
        <v>129.92328561208188</v>
      </c>
      <c r="D61" s="6" t="s">
        <v>222</v>
      </c>
      <c r="E61" s="98"/>
      <c r="F61" s="38"/>
      <c r="G61" s="38"/>
      <c r="H61" s="6"/>
      <c r="I61" s="7"/>
    </row>
    <row r="62" spans="1:9" x14ac:dyDescent="0.3">
      <c r="A62" s="5"/>
      <c r="B62" s="6"/>
      <c r="C62" s="6"/>
      <c r="D62" s="6"/>
      <c r="E62" s="38"/>
      <c r="F62" s="38"/>
      <c r="G62" s="38"/>
      <c r="H62" s="6"/>
      <c r="I62" s="7"/>
    </row>
    <row r="63" spans="1:9" ht="15" thickBot="1" x14ac:dyDescent="0.35">
      <c r="A63" s="10"/>
      <c r="B63" s="11"/>
      <c r="C63" s="11"/>
      <c r="D63" s="11"/>
      <c r="E63" s="11"/>
      <c r="F63" s="11"/>
      <c r="G63" s="11"/>
      <c r="H63" s="11"/>
      <c r="I63" s="12"/>
    </row>
    <row r="64" spans="1:9" ht="15" thickBot="1" x14ac:dyDescent="0.35"/>
    <row r="65" spans="1:7" ht="15" thickBot="1" x14ac:dyDescent="0.35">
      <c r="A65" s="78" t="s">
        <v>231</v>
      </c>
      <c r="B65" s="79"/>
      <c r="C65" s="80"/>
      <c r="D65" s="3"/>
      <c r="E65" s="3"/>
      <c r="F65" s="3"/>
      <c r="G65" s="4"/>
    </row>
    <row r="66" spans="1:7" x14ac:dyDescent="0.3">
      <c r="A66" s="5"/>
      <c r="B66" s="6"/>
      <c r="C66" s="6"/>
      <c r="D66" s="6"/>
      <c r="E66" s="6"/>
      <c r="F66" s="6"/>
      <c r="G66" s="7"/>
    </row>
    <row r="67" spans="1:7" x14ac:dyDescent="0.3">
      <c r="A67" s="5"/>
      <c r="B67" s="6"/>
      <c r="C67" s="6" t="s">
        <v>232</v>
      </c>
      <c r="D67" s="8"/>
      <c r="E67" s="6" t="s">
        <v>233</v>
      </c>
      <c r="F67" s="6"/>
      <c r="G67" s="7"/>
    </row>
    <row r="68" spans="1:7" x14ac:dyDescent="0.3">
      <c r="A68" s="5"/>
      <c r="B68" s="6"/>
      <c r="C68" s="6" t="s">
        <v>234</v>
      </c>
      <c r="D68" s="8"/>
      <c r="E68" s="6" t="s">
        <v>168</v>
      </c>
      <c r="F68" s="8"/>
      <c r="G68" s="7" t="s">
        <v>72</v>
      </c>
    </row>
    <row r="69" spans="1:7" ht="15" thickBot="1" x14ac:dyDescent="0.35">
      <c r="A69" s="5"/>
      <c r="B69" s="6"/>
      <c r="C69" s="6"/>
      <c r="D69" s="6"/>
      <c r="E69" s="6"/>
      <c r="F69" s="6"/>
      <c r="G69" s="7"/>
    </row>
    <row r="70" spans="1:7" ht="15" thickBot="1" x14ac:dyDescent="0.35">
      <c r="A70" s="5"/>
      <c r="B70" s="6"/>
      <c r="C70" s="28" t="s">
        <v>235</v>
      </c>
      <c r="D70" s="42" t="e">
        <f>1.8544*D67*0.10197/(D68*F68/1000000)</f>
        <v>#DIV/0!</v>
      </c>
      <c r="E70" s="6" t="s">
        <v>236</v>
      </c>
      <c r="F70" s="6"/>
      <c r="G70" s="7"/>
    </row>
    <row r="71" spans="1:7" x14ac:dyDescent="0.3">
      <c r="A71" s="5"/>
      <c r="B71" s="6"/>
      <c r="C71" s="48" t="s">
        <v>237</v>
      </c>
      <c r="D71" s="9" t="e">
        <f>D70*10</f>
        <v>#DIV/0!</v>
      </c>
      <c r="E71" s="6" t="s">
        <v>222</v>
      </c>
      <c r="F71" s="6"/>
      <c r="G71" s="7"/>
    </row>
    <row r="72" spans="1:7" ht="15" thickBot="1" x14ac:dyDescent="0.35">
      <c r="A72" s="10"/>
      <c r="B72" s="11"/>
      <c r="C72" s="11"/>
      <c r="D72" s="11"/>
      <c r="E72" s="11"/>
      <c r="F72" s="11"/>
      <c r="G72" s="12"/>
    </row>
  </sheetData>
  <mergeCells count="6">
    <mergeCell ref="A65:C65"/>
    <mergeCell ref="A1:B1"/>
    <mergeCell ref="B6:D7"/>
    <mergeCell ref="A17:B17"/>
    <mergeCell ref="A42:B42"/>
    <mergeCell ref="A51:C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52885-B64D-4C5F-9D78-94C97F1C0027}">
  <dimension ref="A1:D1"/>
  <sheetViews>
    <sheetView tabSelected="1" workbookViewId="0">
      <selection activeCell="B12" sqref="B12"/>
    </sheetView>
  </sheetViews>
  <sheetFormatPr defaultRowHeight="14.4" x14ac:dyDescent="0.3"/>
  <sheetData>
    <row r="1" spans="1:4" ht="15" thickBot="1" x14ac:dyDescent="0.35">
      <c r="A1" s="78" t="s">
        <v>238</v>
      </c>
      <c r="B1" s="79"/>
      <c r="C1" s="79"/>
      <c r="D1" s="8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GYAK1</vt:lpstr>
      <vt:lpstr>GYAK2</vt:lpstr>
      <vt:lpstr>GYAK3</vt:lpstr>
      <vt:lpstr>GYAK4</vt:lpstr>
      <vt:lpstr>GYAK6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2020-05-23T13:04:10Z</dcterms:created>
  <dcterms:modified xsi:type="dcterms:W3CDTF">2020-05-25T08:33:37Z</dcterms:modified>
</cp:coreProperties>
</file>